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75" windowHeight="7020" activeTab="0"/>
  </bookViews>
  <sheets>
    <sheet name="Tổng hợp " sheetId="1" r:id="rId1"/>
    <sheet name="Sheet2" sheetId="2" state="hidden" r:id="rId2"/>
    <sheet name="Sheet3" sheetId="3" state="hidden" r:id="rId3"/>
    <sheet name="Lương đầu năm" sheetId="4" state="hidden" r:id="rId4"/>
    <sheet name="Chi tiết" sheetId="5" state="hidden" r:id="rId5"/>
    <sheet name="Sheet1" sheetId="6" r:id="rId6"/>
  </sheets>
  <externalReferences>
    <externalReference r:id="rId9"/>
    <externalReference r:id="rId10"/>
  </externalReferences>
  <definedNames>
    <definedName name="_xlnm.Print_Area" localSheetId="3">'Lương đầu năm'!$A$1:$Z$201</definedName>
    <definedName name="_xlnm.Print_Area" localSheetId="0">'Tổng hợp '!$A$1:$L$67</definedName>
  </definedNames>
  <calcPr fullCalcOnLoad="1"/>
</workbook>
</file>

<file path=xl/sharedStrings.xml><?xml version="1.0" encoding="utf-8"?>
<sst xmlns="http://schemas.openxmlformats.org/spreadsheetml/2006/main" count="671" uniqueCount="381">
  <si>
    <t>STT</t>
  </si>
  <si>
    <t>Đơn vị</t>
  </si>
  <si>
    <t>Kinh phí cấp đầu năm</t>
  </si>
  <si>
    <t>Ghi chú</t>
  </si>
  <si>
    <t>I</t>
  </si>
  <si>
    <t>Quản lý hành chính</t>
  </si>
  <si>
    <t>Văn phòng Huyện ủy</t>
  </si>
  <si>
    <t xml:space="preserve">Đoàn Thanh niên </t>
  </si>
  <si>
    <t>Hội phụ nữ huyện</t>
  </si>
  <si>
    <t>Hội Nông dân</t>
  </si>
  <si>
    <t>Phòng Tài chính - Kế hoạch</t>
  </si>
  <si>
    <t>Phòng Nông nghiệp và PTNT</t>
  </si>
  <si>
    <t>Phòng Tư Pháp</t>
  </si>
  <si>
    <t>II</t>
  </si>
  <si>
    <t>Sự nghiệp văn hóa</t>
  </si>
  <si>
    <t>III</t>
  </si>
  <si>
    <t>Sự nghiệp phát thanh</t>
  </si>
  <si>
    <t>Sự nghiệp kinh tế</t>
  </si>
  <si>
    <t>Trung tâm dịch vụ nông nghiệp</t>
  </si>
  <si>
    <t>Kinh phí bổ sung (+), thu hồi (-)</t>
  </si>
  <si>
    <t>Trong đó</t>
  </si>
  <si>
    <t>Kinh phí điều chỉnh</t>
  </si>
  <si>
    <t>Điều chỉnh tăng</t>
  </si>
  <si>
    <t>Điều chỉnh giảm</t>
  </si>
  <si>
    <t>Tổng cộng</t>
  </si>
  <si>
    <t>Đvt: Đồng</t>
  </si>
  <si>
    <t>Hội cựu chiến binh</t>
  </si>
  <si>
    <t>Văn phòng HĐND - UBND huyện</t>
  </si>
  <si>
    <t>Trần Minh Luân</t>
  </si>
  <si>
    <t>Nguyễn Tuấn Toàn</t>
  </si>
  <si>
    <t>Đông Văn Sơn</t>
  </si>
  <si>
    <t>Phùng Ngọc Chiến</t>
  </si>
  <si>
    <t>Trần Phú Lợi</t>
  </si>
  <si>
    <t>Nguyễn Hữu Luân</t>
  </si>
  <si>
    <t>Lê Văn Trung</t>
  </si>
  <si>
    <t>Nguyễn Quang Thọ</t>
  </si>
  <si>
    <t>Trần Văn Chiến</t>
  </si>
  <si>
    <t>Đào Anh Tuấn</t>
  </si>
  <si>
    <t>Y Giang Ly</t>
  </si>
  <si>
    <t>Trần Việt Dũng</t>
  </si>
  <si>
    <t xml:space="preserve">Pờ Ly Hảo 
</t>
  </si>
  <si>
    <t>Rơ Chăm Luy</t>
  </si>
  <si>
    <t>Nguyễn Thanh Tuấn</t>
  </si>
  <si>
    <t>Nguyễn Văn Cường</t>
  </si>
  <si>
    <t>Hồ Thị Đào</t>
  </si>
  <si>
    <t>Lương Văn Thám</t>
  </si>
  <si>
    <t>Nguyễn Tiến Dũng</t>
  </si>
  <si>
    <t>A Khiên</t>
  </si>
  <si>
    <t xml:space="preserve">Bùi Văn Nhàng
</t>
  </si>
  <si>
    <t>Trần Nam Bộ</t>
  </si>
  <si>
    <t>Nguyễn Mạch</t>
  </si>
  <si>
    <t>Trần Xuân Đi</t>
  </si>
  <si>
    <t>Nguyễn Đình Thúy</t>
  </si>
  <si>
    <t>NgỤY Đình Phúc</t>
  </si>
  <si>
    <t>Võ Anh Tuấn</t>
  </si>
  <si>
    <t>Huyện ủy</t>
  </si>
  <si>
    <t>Phụ cấp trách nhiệm cấp ủy</t>
  </si>
  <si>
    <t>Bùi Thị Thanh Huệ</t>
  </si>
  <si>
    <t>Đinh Thị Hà</t>
  </si>
  <si>
    <t>Hà Thị Sen</t>
  </si>
  <si>
    <t>Ngô Văn Hải</t>
  </si>
  <si>
    <t>Đỗ Thanh Nam</t>
  </si>
  <si>
    <t>Huỳnh Ngọc Hưng</t>
  </si>
  <si>
    <t>Lương Viết Tú</t>
  </si>
  <si>
    <t>Hồ Đắc Thụy Xuân Hương</t>
  </si>
  <si>
    <t>Đinh Văn Định</t>
  </si>
  <si>
    <t>Duy Mạnh Hùng</t>
  </si>
  <si>
    <t>Lý Văn Hải</t>
  </si>
  <si>
    <t>Nguyễn Thị Hồng Lan</t>
  </si>
  <si>
    <t>Trần Qúy Phương</t>
  </si>
  <si>
    <t xml:space="preserve">Nguyễn Tiến Dũng </t>
  </si>
  <si>
    <t xml:space="preserve">Nguyễn Văn Lộc </t>
  </si>
  <si>
    <t>Nguyễn Hoài Nam</t>
  </si>
  <si>
    <t>Ngô Văn Thuy</t>
  </si>
  <si>
    <t>Văn phòng HĐND-UBND</t>
  </si>
  <si>
    <t>Cấp huyện</t>
  </si>
  <si>
    <t>Kinh phí Đại biểu HĐND các cấp</t>
  </si>
  <si>
    <t>Nguyễn Tất Thắng</t>
  </si>
  <si>
    <t>Hội Cựu chiến binh</t>
  </si>
  <si>
    <t>9.2.2.5</t>
  </si>
  <si>
    <t>Hoàng Thị Thanh Hiền</t>
  </si>
  <si>
    <t>Huyện đoàn</t>
  </si>
  <si>
    <t>9.2.2.4</t>
  </si>
  <si>
    <t>01 BC</t>
  </si>
  <si>
    <t>Hội nông dân</t>
  </si>
  <si>
    <t>9.2.2.3</t>
  </si>
  <si>
    <t>Biên chế</t>
  </si>
  <si>
    <t>Hội liên hiệp phụ nữ</t>
  </si>
  <si>
    <t>9.2.2.2</t>
  </si>
  <si>
    <t>Nguyễn Xuân Thái</t>
  </si>
  <si>
    <t>Trần Thị Loan</t>
  </si>
  <si>
    <t>Rô Man Duyên</t>
  </si>
  <si>
    <t>Po Ly Hao</t>
  </si>
  <si>
    <t>Uỷ ban MTTQ VN</t>
  </si>
  <si>
    <t>9.2.2.1</t>
  </si>
  <si>
    <t>Đoàn thể</t>
  </si>
  <si>
    <t>9.2.2</t>
  </si>
  <si>
    <t>Uông Hữu Thỉnh</t>
  </si>
  <si>
    <t>Phu cấp cấp ủy viên</t>
  </si>
  <si>
    <t>*</t>
  </si>
  <si>
    <t>6 bc</t>
  </si>
  <si>
    <t>Hoàng Thị Thùy Linh</t>
  </si>
  <si>
    <t>Lê Xuân Tiến</t>
  </si>
  <si>
    <t>Mai Thị Hoàng Vân</t>
  </si>
  <si>
    <t>Nguyễn Thị Kim Huệ</t>
  </si>
  <si>
    <t>Cao Thị Thúy</t>
  </si>
  <si>
    <t>Vũ Mạnh Đạt</t>
  </si>
  <si>
    <t>Đoàn Xuân Tùng</t>
  </si>
  <si>
    <t>Lê Đại Lợi</t>
  </si>
  <si>
    <t>Nguyễn Ngọc Trùng Dương</t>
  </si>
  <si>
    <t>Nguyễn Thị Hồng Vân</t>
  </si>
  <si>
    <t>Đặng Chí Bảo</t>
  </si>
  <si>
    <t>Nguyễn Ngọc Quang</t>
  </si>
  <si>
    <t>Hà Ngọc Khanh</t>
  </si>
  <si>
    <t>Rơ Châm Luy</t>
  </si>
  <si>
    <t>Dương Thị Mộng Thu</t>
  </si>
  <si>
    <t>Nguyễn Thế Hằng</t>
  </si>
  <si>
    <t>Nguyễn Vĩnh Thịnh</t>
  </si>
  <si>
    <t>Phạm Quang Hiệp</t>
  </si>
  <si>
    <t>Trần Ngọc Hòa</t>
  </si>
  <si>
    <t>Lê Thu Hà</t>
  </si>
  <si>
    <t>Võ Quang Hiền</t>
  </si>
  <si>
    <t>Nguyễn Hữu Thạch</t>
  </si>
  <si>
    <t>Huyện Ủy</t>
  </si>
  <si>
    <t>9.2.1</t>
  </si>
  <si>
    <t>Khối Đảng, Đoàn thể</t>
  </si>
  <si>
    <t>9.2</t>
  </si>
  <si>
    <t>Thao Nắp</t>
  </si>
  <si>
    <t>Phòng Tư pháp</t>
  </si>
  <si>
    <t>9.1.9</t>
  </si>
  <si>
    <t>Huỳnh Thị Thanh Bạch</t>
  </si>
  <si>
    <t>Đào Tuấn Bình</t>
  </si>
  <si>
    <t>1 bc</t>
  </si>
  <si>
    <t>Phòng lao động thương binh và xã hội</t>
  </si>
  <si>
    <t>9.1.8</t>
  </si>
  <si>
    <t>Lê Bá Khánh Luân</t>
  </si>
  <si>
    <t>Trần Thị Y</t>
  </si>
  <si>
    <t>Trịnh Văn Huy</t>
  </si>
  <si>
    <t>Thạch Xuân Hào</t>
  </si>
  <si>
    <t>Phòng Giáo dục và đào tạo</t>
  </si>
  <si>
    <t>9.1.7</t>
  </si>
  <si>
    <t>Thanh tra huyện</t>
  </si>
  <si>
    <t>9.1.6</t>
  </si>
  <si>
    <t>Huỳnh Tấn Vũ</t>
  </si>
  <si>
    <t>Thaân Văn Hoàn</t>
  </si>
  <si>
    <t>Nguyễn Minh Thu</t>
  </si>
  <si>
    <t>Phòng Nông nghiệp&amp;PTNT</t>
  </si>
  <si>
    <t>9.1.5</t>
  </si>
  <si>
    <t>Vi Thị Mừng</t>
  </si>
  <si>
    <t>03 BC</t>
  </si>
  <si>
    <t>Phạm Tiến Tâm</t>
  </si>
  <si>
    <t>Phòng tài chính - kế hoạch</t>
  </si>
  <si>
    <t>9.1.4</t>
  </si>
  <si>
    <t>Vũ Văn Nhân</t>
  </si>
  <si>
    <t>Nguyễn Thu Trang</t>
  </si>
  <si>
    <t>01 bc</t>
  </si>
  <si>
    <t>Hoàng Trọng Quảng</t>
  </si>
  <si>
    <t>Lê Văn Bình</t>
  </si>
  <si>
    <t>Phòng kinh tế-hạ tầng</t>
  </si>
  <si>
    <t>9.1.2</t>
  </si>
  <si>
    <t>Bùi Văn Nhàng</t>
  </si>
  <si>
    <t>Văn phòng HĐND - UBND</t>
  </si>
  <si>
    <t>9.1.1</t>
  </si>
  <si>
    <t>Quản lý nhà nước</t>
  </si>
  <si>
    <t>9.1</t>
  </si>
  <si>
    <t>Quản lý nhà nước, đảng, đoàn thể</t>
  </si>
  <si>
    <t>Lò Văn Tình</t>
  </si>
  <si>
    <t>Trần Mạnh Hùng</t>
  </si>
  <si>
    <t>Trần Hưng Long</t>
  </si>
  <si>
    <t>Y Thị Bảo Yến</t>
  </si>
  <si>
    <t xml:space="preserve">Phạm Văn Tiến </t>
  </si>
  <si>
    <t>Trung tâm dịch vụ nông nghiệp huyện</t>
  </si>
  <si>
    <t>8.1</t>
  </si>
  <si>
    <t>Đảm bảo xã hội</t>
  </si>
  <si>
    <t>Thể dục - thể thao</t>
  </si>
  <si>
    <t>01BC</t>
  </si>
  <si>
    <t>Nguyễn Thị Cúc</t>
  </si>
  <si>
    <t>Lại thế thành</t>
  </si>
  <si>
    <t>Ngô Thị Hằng</t>
  </si>
  <si>
    <t>Phạm Công Phùng</t>
  </si>
  <si>
    <t>Lê Văn Cao</t>
  </si>
  <si>
    <t>Sự nghiệp văn hóa 
(Trung tâm VH TT-DL và TT huyện)</t>
  </si>
  <si>
    <t>KHU VỰC HCSN, ĐẢNG, ĐOÀN THỂ</t>
  </si>
  <si>
    <t>Tổng cộng (I+II+III+IV+V)</t>
  </si>
  <si>
    <t>25 = (5)*1.390</t>
  </si>
  <si>
    <t>23</t>
  </si>
  <si>
    <t>22</t>
  </si>
  <si>
    <t>21</t>
  </si>
  <si>
    <t>20</t>
  </si>
  <si>
    <t>19</t>
  </si>
  <si>
    <t>18</t>
  </si>
  <si>
    <t>17</t>
  </si>
  <si>
    <t>16</t>
  </si>
  <si>
    <t>15</t>
  </si>
  <si>
    <t>14</t>
  </si>
  <si>
    <t>13</t>
  </si>
  <si>
    <t>12</t>
  </si>
  <si>
    <t>11</t>
  </si>
  <si>
    <t>10</t>
  </si>
  <si>
    <t>9</t>
  </si>
  <si>
    <t>8</t>
  </si>
  <si>
    <t>7=8+…+22</t>
  </si>
  <si>
    <t>6</t>
  </si>
  <si>
    <t>5=6+7+23</t>
  </si>
  <si>
    <t>4</t>
  </si>
  <si>
    <t>3</t>
  </si>
  <si>
    <t>2</t>
  </si>
  <si>
    <t>Các khoản đóng góp BHXH, BHYT, KPCĐ</t>
  </si>
  <si>
    <t>Phụ cấp
 khác</t>
  </si>
  <si>
    <t>Phụ cấp kiêm nhiệm</t>
  </si>
  <si>
    <t>Phụ cấp
trách nhiệm</t>
  </si>
  <si>
    <t>Phụ cấp 
theo HD 05</t>
  </si>
  <si>
    <t>Phụ cấp
 Đại biểu HĐND</t>
  </si>
  <si>
    <t>Phụ cấp 
cấp ủy</t>
  </si>
  <si>
    <t>Phụ cấp 
lâu năm</t>
  </si>
  <si>
    <t>Phụ cấp
 phân loại xã</t>
  </si>
  <si>
    <t>Phụ cấp
 công vụ</t>
  </si>
  <si>
    <t>Phụ cấp 
ưu đãi ngành</t>
  </si>
  <si>
    <t>Phụ cấp
 thâm niên nghề</t>
  </si>
  <si>
    <t>Phụ cấp
 thu hút</t>
  </si>
  <si>
    <t xml:space="preserve">Phụ cấp
 đặc biệt </t>
  </si>
  <si>
    <t>Phụ cấp
 thâm niên vượt khung</t>
  </si>
  <si>
    <t xml:space="preserve">Phụ cấp chức vụ, 
</t>
  </si>
  <si>
    <t>Phụ cấp
 khu vực</t>
  </si>
  <si>
    <t>Tổng các khoản phụ cấp</t>
  </si>
  <si>
    <t>Lương theo ngạch bậc, chức vụ</t>
  </si>
  <si>
    <t>Nhu cầu kinh phí 01 tháng theo Nghị định 35/2019/NĐ-CP</t>
  </si>
  <si>
    <t>HỆ SỐ TIỀN LƯƠNG, PHỤ CẤP VÀ CÁC KHOẢN ĐÓNG GÓP THÁNG 11/2020</t>
  </si>
  <si>
    <t>Tổng số đối tượng có mặt đến 1/10/2020</t>
  </si>
  <si>
    <t>Biên chế được cấp có thẩm quyền phê duyệt năm 2020</t>
  </si>
  <si>
    <t>Tên đơn vị</t>
  </si>
  <si>
    <t>BÁO CÁO NHU CẦU KINH PHÍ TiỀN LƯƠNG NĂM 2018 THEO NGHỊ ĐỊNH SỐ 72/2018/NĐ-CP</t>
  </si>
  <si>
    <t>BÁO CÁO NHU CẦU KINH PHÍ THỰC HIỆN NGHỊ ĐỊNH 47/2016/NĐ-CP NĂM 2016</t>
  </si>
  <si>
    <t>Nhu cầu kinh phí năm 2021</t>
  </si>
  <si>
    <t>BiỂU SỐ 2</t>
  </si>
  <si>
    <t>BÁO CÁO NHU CẦU KINH PHÍ TiỀN LƯƠNG NĂM 2021</t>
  </si>
  <si>
    <t>(Kèm theo công văn số     /TCKH-NS ngày    /      /2021của phòng Tài chính - Kế hoạch huyện)</t>
  </si>
  <si>
    <t>Biên chế được cấp có thẩm quyền phê duyệt năm 2021</t>
  </si>
  <si>
    <t>HỆ SỐ TIỀN LƯƠNG, PHỤ CẤP VÀ CÁC KHOẢN ĐÓNG GÓP THAY ĐỔI TRONG NĂM</t>
  </si>
  <si>
    <t>Phụ cấp chức vụ, 
trách nhiệm</t>
  </si>
  <si>
    <t>Phụ cấp
 kiêm nhiệm</t>
  </si>
  <si>
    <t>23= (4)*số tháng* mức lương cơ sở</t>
  </si>
  <si>
    <t>Văn hóa thông tin</t>
  </si>
  <si>
    <t>Phát thanh truyền hình</t>
  </si>
  <si>
    <t>Lãi Thế Thành</t>
  </si>
  <si>
    <t>Kosr Sửu</t>
  </si>
  <si>
    <t>Trung tâm Văn hóa - Thể thao - Du lịch và Truyền thông</t>
  </si>
  <si>
    <t>Nguyễn Văn Sĩ</t>
  </si>
  <si>
    <t>Lưu Thị Thanh Xuân</t>
  </si>
  <si>
    <t>Nguyễn T. Phương Dung</t>
  </si>
  <si>
    <t>Nguyễn Văn Hưởng</t>
  </si>
  <si>
    <t>Phan Văn Tiến</t>
  </si>
  <si>
    <t>Lò Đức Tình</t>
  </si>
  <si>
    <t>1BC chưa có mặt</t>
  </si>
  <si>
    <t>4.1</t>
  </si>
  <si>
    <t>T1-T12</t>
  </si>
  <si>
    <t>T1-T3</t>
  </si>
  <si>
    <t>T4-T12</t>
  </si>
  <si>
    <t>T1</t>
  </si>
  <si>
    <t>T2-T12</t>
  </si>
  <si>
    <t>4.2</t>
  </si>
  <si>
    <t xml:space="preserve">Phòng Tài chính - Kế hoạch </t>
  </si>
  <si>
    <t>Huỳnh Thị Thu Tâm</t>
  </si>
  <si>
    <t>4.3</t>
  </si>
  <si>
    <t>Phòng Kinh tế và hạ tầng</t>
  </si>
  <si>
    <t>4.4</t>
  </si>
  <si>
    <t>Phòng Nông nghiệp và phát triển nông thôn</t>
  </si>
  <si>
    <t>Trần Quý Phương</t>
  </si>
  <si>
    <t>T1-T2</t>
  </si>
  <si>
    <t>4.5</t>
  </si>
  <si>
    <t>Phòng Lao động - Thương binh &amp; XH</t>
  </si>
  <si>
    <t>01 Biên chế</t>
  </si>
  <si>
    <t>4.6</t>
  </si>
  <si>
    <t xml:space="preserve">Phòng Tư pháp </t>
  </si>
  <si>
    <t>T3-T12</t>
  </si>
  <si>
    <t>4.7</t>
  </si>
  <si>
    <t>Phòng Gi áo dục và đào tạo</t>
  </si>
  <si>
    <t xml:space="preserve">Biên chế k có mặt </t>
  </si>
  <si>
    <t>01 biên chế k có mặt</t>
  </si>
  <si>
    <t>Trung tâm VH TT-DL và TT huyện</t>
  </si>
  <si>
    <t>Nguyễn Thị Phương Dung</t>
  </si>
  <si>
    <t>Uông Hưu Thỉnh</t>
  </si>
  <si>
    <t>Hợp đồng không kỳ hạn theo NĐ 68</t>
  </si>
  <si>
    <t>Trịnh Năng Hiếu</t>
  </si>
  <si>
    <t>Nguyễn Hữu Giang</t>
  </si>
  <si>
    <t>Vi Thị Hương</t>
  </si>
  <si>
    <t>Vi Thị Mừng (nghỉ thai sản)</t>
  </si>
  <si>
    <t>Thân Văn Hoàn</t>
  </si>
  <si>
    <t>01 biên chế</t>
  </si>
  <si>
    <t>1</t>
  </si>
  <si>
    <t xml:space="preserve">Pờ Ly Hảo </t>
  </si>
  <si>
    <t>01 bc chưa có mặt</t>
  </si>
  <si>
    <t>Ủy ban MT TQ VN huyện</t>
  </si>
  <si>
    <t>Hồ Đắc Thuỵ Xuân Hương</t>
  </si>
  <si>
    <t>Hội phụ nữ</t>
  </si>
  <si>
    <t xml:space="preserve">Nguyễn Hữu Luân </t>
  </si>
  <si>
    <t>5.1</t>
  </si>
  <si>
    <t>5.2</t>
  </si>
  <si>
    <t>5.3</t>
  </si>
  <si>
    <t>5.4</t>
  </si>
  <si>
    <t>5.5</t>
  </si>
  <si>
    <t>5.6</t>
  </si>
  <si>
    <t>-</t>
  </si>
  <si>
    <t>Tiền lương và các khoản trích theo lương</t>
  </si>
  <si>
    <t>Sinh hoạt phí Đại biểu hội đồng nhân dân huyện</t>
  </si>
  <si>
    <t>Kinh phí hỗ trợ Tết trồng cây và ngày môi trường thế giới (bao gồm chi phí thả cá giống tái tạo nguồn lợi thủy sản huyện Ia H'Drai)</t>
  </si>
  <si>
    <t>Chi phí quản lý dự án bố trí sắp xếp dân cư trên địa bàn huyện, mua quà tặng cho các hộ di dân</t>
  </si>
  <si>
    <t>IV</t>
  </si>
  <si>
    <t>Chênh lệch (bổ sung /thu hồi)</t>
  </si>
  <si>
    <t>từ tháng 1-9</t>
  </si>
  <si>
    <t>từ tháng 
10-12</t>
  </si>
  <si>
    <t>từ tháng 1-2</t>
  </si>
  <si>
    <t>từ tháng 3-10</t>
  </si>
  <si>
    <t>từ tháng 
11/2021</t>
  </si>
  <si>
    <t>từ tháng 1-3</t>
  </si>
  <si>
    <t>từ tháng 4-11</t>
  </si>
  <si>
    <t>từ tháng 12/2021</t>
  </si>
  <si>
    <t>từ tháng 4-12</t>
  </si>
  <si>
    <t>từ tháng 1-10</t>
  </si>
  <si>
    <t>từ tháng 11-12</t>
  </si>
  <si>
    <t>từ tháng 5-12</t>
  </si>
  <si>
    <t>tháng 1-2</t>
  </si>
  <si>
    <t>Nguyễn Hà Quang</t>
  </si>
  <si>
    <t>Lê Đình Thanh</t>
  </si>
  <si>
    <t>Dương Văn Hà</t>
  </si>
  <si>
    <t>Lữ Thị Luyến</t>
  </si>
  <si>
    <t xml:space="preserve">Hợp đồng </t>
  </si>
  <si>
    <t>Tổ chức ngày phụ nữ khởi nghiệp, tập huấn khởi nghiệp</t>
  </si>
  <si>
    <t>Thực hiện hoạt động hưởng ứng tháng hành động vì trẻ em năm 2021, Ngày gia đình Việt Nam</t>
  </si>
  <si>
    <t xml:space="preserve">Gói thầu kiểm toán công trình: Cắm mốc giới ra thực địa quy hoạch chi tiết (tỷ lệ 1/500) khu thương mại, dịch vụ và dân cư dọc quốc lộ 14C </t>
  </si>
  <si>
    <t>Qũy lương 03 biên chế sự nghiệp (Ngân sách huyện)</t>
  </si>
  <si>
    <t>02 biên chế</t>
  </si>
  <si>
    <t xml:space="preserve">    </t>
  </si>
  <si>
    <t>Kinh phí sau điều chỉnh</t>
  </si>
  <si>
    <t>Kinh phí phục vụ tuyển dụng công chức, viên chức</t>
  </si>
  <si>
    <t>Kinh phí BCĐ 35</t>
  </si>
  <si>
    <t>Kinh phí cộng tác viên dư luận xã hội</t>
  </si>
  <si>
    <r>
      <t>Điều chỉnh giảm chênh lệch hệ số lương của Ngô Văn Thuy</t>
    </r>
    <r>
      <rPr>
        <i/>
        <sz val="11"/>
        <rFont val="Times New Roman"/>
        <family val="1"/>
      </rPr>
      <t xml:space="preserve"> (giao đầu năm)</t>
    </r>
    <r>
      <rPr>
        <sz val="11"/>
        <rFont val="Times New Roman"/>
        <family val="1"/>
      </rPr>
      <t xml:space="preserve"> và Nguyễn Tiến Dũng </t>
    </r>
  </si>
  <si>
    <t>Điều chỉnh giảm chênh lệch hệ số lương của Y Giang Ly (giao đầu năm) và Hồ Thị Đào do chuyển công tác</t>
  </si>
  <si>
    <t>Chi trả tiền nhuận bút cho cộng tác viên, kinh phí hoạt động trang thông tin điện tử huyện , chi phát thanh định kỳ</t>
  </si>
  <si>
    <t>Sự nghiệp thể thao</t>
  </si>
  <si>
    <t>Tổng dự toán kinh phí đã cấp</t>
  </si>
  <si>
    <t xml:space="preserve"> </t>
  </si>
  <si>
    <t>Chi hoạt động thể dục thể thao, tham gia hội thi tại tinh, Đại hội thể dục thể thao</t>
  </si>
  <si>
    <t>Điều chỉnh giảm chênh lệch hệ số lương của Nguyễn Vĩnh Thịnh (06 tháng), Nguyễn Thị Kim Huệ (04 tháng) do chuyển công tác</t>
  </si>
  <si>
    <t xml:space="preserve">  </t>
  </si>
  <si>
    <t>Điều chỉnh giảm chênh lệch hệ số lương của 01 công chức chuyển sang viên chức (6 tháng). Bổ sung kinh phí 01 biên chế được giao bổ sung tại Quyết định số 02/QĐ-UBND ngày 02/1/2021 của UBND huyện</t>
  </si>
  <si>
    <t>Tổ chức ngày Hội bánh chưng xanh, thăm hỏi tặng quà dịp tết</t>
  </si>
  <si>
    <t>Tổ chức hoạt động của Đoàn - Hội - Đội</t>
  </si>
  <si>
    <t>Kinh phí chuyển nguồn từ năm 2020 sang 2021</t>
  </si>
  <si>
    <t>Thống kê đất đai</t>
  </si>
  <si>
    <t>Trích 10% tổng số thu tiền sử dụng đất để thực hiện công tác đo đạc, đăng ký đất đai, lập cơ sở dữ liệu hồ sơ địa chính và cấp giấy chứng nhận quyền sử dụng đất</t>
  </si>
  <si>
    <t>Lập kế hoạch sử dụng đất năm 2021</t>
  </si>
  <si>
    <t>Lập kế hoạch sử dụng đất năm 2022</t>
  </si>
  <si>
    <t>Cắm mốc phân lô đất ở một số khu vực đã đấu giá quyền sử dụng đất</t>
  </si>
  <si>
    <t>Bổ sung kinh phí 01 biên chế được giao bổ sung tại Quyết định số 02/QĐ-UBND ngày 02/1/2021 của UBND huyện</t>
  </si>
  <si>
    <t>Bổ sung kinh phí 02 biên chế được giao bổ sung tại Quyết định số 02/QĐ-UBND ngày 02/1/2021 của UBND huyện</t>
  </si>
  <si>
    <t>Phí sử dụng biên lai điện tử</t>
  </si>
  <si>
    <t>Mua máy in</t>
  </si>
  <si>
    <t>Kinh phí điều chỉnh trong năm (tăng/giảm)</t>
  </si>
  <si>
    <t>Chi trích lập quỹ khen thưởng</t>
  </si>
  <si>
    <t>Kinh phí văn bản quy phạm pháp luật</t>
  </si>
  <si>
    <t xml:space="preserve">                                                                                                                  </t>
  </si>
  <si>
    <t>V</t>
  </si>
  <si>
    <t>Sự nghiệp môi trường</t>
  </si>
  <si>
    <t xml:space="preserve">Chi tiền điện công lô </t>
  </si>
  <si>
    <t>Điều chỉnh chênh lệch hệ số lương do 01 biên chế chuyển công tác (05 tháng)</t>
  </si>
  <si>
    <t>Điều chỉnh chênh lệch hệ số lương do 01 biên chế chuyển công tác (03 tháng)</t>
  </si>
  <si>
    <t>Kinh phí mua sắm máy quay chuyên dùng</t>
  </si>
  <si>
    <t>VI</t>
  </si>
  <si>
    <t xml:space="preserve">Trung tâm Dịch vụ môi trường và đô thị </t>
  </si>
  <si>
    <t>Trung tâm Văn hóa - Thể thao - 
Du lịch và Truyền thông huyện</t>
  </si>
  <si>
    <t>Phòng giáo dục và Đào tạo</t>
  </si>
  <si>
    <t>Phòng Lao động - Thương Binh
 và Xã hội</t>
  </si>
  <si>
    <t>Phòng Kinh tế và Hạ tầng</t>
  </si>
  <si>
    <t>Ủy ban MTTQVN huyện</t>
  </si>
  <si>
    <t>Kinh phí bầu cử Hội đồng nhân dân 2021-2026</t>
  </si>
  <si>
    <r>
      <t>Chỉnh trang hệ thống điện sinh hoạt và chiếu sáng khu trung tâm hành chính huyện</t>
    </r>
    <r>
      <rPr>
        <i/>
        <sz val="11"/>
        <color indexed="8"/>
        <rFont val="Times New Roman"/>
        <family val="1"/>
      </rPr>
      <t xml:space="preserve"> (Sự nghiệp kiến thiết thị chính)</t>
    </r>
  </si>
  <si>
    <r>
      <t>Đặt hàng cung cấp dịch vụ công sử dụng ngân sách nhà nước</t>
    </r>
    <r>
      <rPr>
        <i/>
        <sz val="11"/>
        <rFont val="Times New Roman"/>
        <family val="1"/>
      </rPr>
      <t xml:space="preserve"> (Trồng và chăm sóc cây xanh)</t>
    </r>
  </si>
  <si>
    <t>(Kèm theo Tờ trình  số      /TTr-UBND  ngày     /6/2021 của Ủy ban nhân dân huyện Ia H'Drai)</t>
  </si>
  <si>
    <t>ĐIỀU CHỈNH NHIỆM VỤ CHI CỦA CÁC ĐƠN VỊ NĂM 2021- LẦN 01</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</si>
</sst>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000_);_(* \(#,##0.000\);_(* &quot;-&quot;??_);_(@_)"/>
    <numFmt numFmtId="181" formatCode="_(* #,##0_);_(* \(#,##0\);_(* &quot;-&quot;??_);_(@_)"/>
    <numFmt numFmtId="182" formatCode="_(* #,##0_);_(* \(#,##0\);_(* &quot;-&quot;???_);_(@_)"/>
    <numFmt numFmtId="183" formatCode="_-* #,##0_-;\-* #,##0_-;_-* &quot;-&quot;??_-;_-@_-"/>
    <numFmt numFmtId="184" formatCode="_(&quot;£&quot;\ * #,##0_);_(&quot;£&quot;\ * \(#,##0\);_(&quot;£&quot;\ * &quot;-&quot;_);_(@_)"/>
    <numFmt numFmtId="185" formatCode="_-* #,##0.000_-;\-* #,##0.000_-;_-* &quot;-&quot;??_-;_-@_-"/>
    <numFmt numFmtId="186" formatCode="_-* #,##0.0000_-;\-* #,##0.0000_-;_-* &quot;-&quot;??_-;_-@_-"/>
    <numFmt numFmtId="187" formatCode="&quot;€&quot;###,0&quot;.&quot;00_);\(&quot;€&quot;###,0&quot;.&quot;00\)"/>
    <numFmt numFmtId="188" formatCode="#,##0.0"/>
    <numFmt numFmtId="189" formatCode="0.0000"/>
    <numFmt numFmtId="190" formatCode="#,##0.0000"/>
    <numFmt numFmtId="191" formatCode="#,##0.000"/>
    <numFmt numFmtId="192" formatCode="_-* #,##0.0_-;\-* #,##0.0_-;_-* &quot;-&quot;??_-;_-@_-"/>
    <numFmt numFmtId="193" formatCode="#,##0.0_ ;\-#,##0.0\ "/>
    <numFmt numFmtId="194" formatCode="_(* #,##0.0_);_(* \(#,##0.0\);_(* &quot;-&quot;??_);_(@_)"/>
    <numFmt numFmtId="195" formatCode="_(* #,##0.0_);_(* \(#,##0.0\);_(* \-??_);_(@_)"/>
    <numFmt numFmtId="196" formatCode="#,##0_ ;\-#,##0\ "/>
    <numFmt numFmtId="197" formatCode="_(* #,##0.000_);_(* \(#,##0.000\);_(* &quot;-&quot;???_);_(@_)"/>
    <numFmt numFmtId="198" formatCode="_(* #,##0.0000_);_(* \(#,##0.0000\);_(* &quot;-&quot;??_);_(@_)"/>
    <numFmt numFmtId="199" formatCode="_(* #,##0.0_);_(* \(#,##0.0\);_(* &quot;-&quot;?_);_(@_)"/>
    <numFmt numFmtId="200" formatCode="_-* #,##0.00000_-;\-* #,##0.00000_-;_-* &quot;-&quot;??_-;_-@_-"/>
    <numFmt numFmtId="201" formatCode="_(* #,##0.00000_);_(* \(#,##0.00000\);_(* &quot;-&quot;??_);_(@_)"/>
    <numFmt numFmtId="202" formatCode="_(* #,##0.000000_);_(* \(#,##0.000000\);_(* &quot;-&quot;??_);_(@_)"/>
    <numFmt numFmtId="203" formatCode="&quot;Yes&quot;;&quot;Yes&quot;;&quot;No&quot;"/>
    <numFmt numFmtId="204" formatCode="&quot;True&quot;;&quot;True&quot;;&quot;False&quot;"/>
    <numFmt numFmtId="205" formatCode="&quot;On&quot;;&quot;On&quot;;&quot;Off&quot;"/>
    <numFmt numFmtId="206" formatCode="[$€-2]\ #,##0.00_);[Red]\([$€-2]\ #,##0.00\)"/>
    <numFmt numFmtId="207" formatCode="_(* #,##0.0000_);_(* \(#,##0.0000\);_(* &quot;-&quot;????_);_(@_)"/>
  </numFmts>
  <fonts count="93">
    <font>
      <sz val="11"/>
      <color theme="1"/>
      <name val="Calibri"/>
      <family val="2"/>
    </font>
    <font>
      <sz val="11"/>
      <color indexed="8"/>
      <name val="Calibri"/>
      <family val="2"/>
    </font>
    <font>
      <b/>
      <sz val="12"/>
      <name val="Times New Roman"/>
      <family val="1"/>
    </font>
    <font>
      <sz val="12"/>
      <name val="Times New Roman"/>
      <family val="1"/>
    </font>
    <font>
      <sz val="11"/>
      <name val="Times New Roman"/>
      <family val="1"/>
    </font>
    <font>
      <b/>
      <sz val="11"/>
      <name val="Times New Roman"/>
      <family val="1"/>
    </font>
    <font>
      <sz val="10"/>
      <color indexed="8"/>
      <name val="Times New Roman"/>
      <family val="1"/>
    </font>
    <font>
      <sz val="10"/>
      <name val="Arial"/>
      <family val="2"/>
    </font>
    <font>
      <b/>
      <i/>
      <sz val="10"/>
      <color indexed="8"/>
      <name val="Times New Roman"/>
      <family val="1"/>
    </font>
    <font>
      <b/>
      <sz val="10"/>
      <color indexed="8"/>
      <name val="Times New Roman"/>
      <family val="1"/>
    </font>
    <font>
      <b/>
      <i/>
      <sz val="10"/>
      <color indexed="10"/>
      <name val="Times New Roman"/>
      <family val="1"/>
    </font>
    <font>
      <sz val="10"/>
      <color indexed="10"/>
      <name val="Times New Roman"/>
      <family val="1"/>
    </font>
    <font>
      <sz val="12"/>
      <color indexed="10"/>
      <name val="Times New Roman"/>
      <family val="1"/>
    </font>
    <font>
      <i/>
      <sz val="10"/>
      <color indexed="8"/>
      <name val="Times New Roman"/>
      <family val="1"/>
    </font>
    <font>
      <sz val="12"/>
      <color indexed="8"/>
      <name val="Times New Roman"/>
      <family val="1"/>
    </font>
    <font>
      <b/>
      <sz val="10"/>
      <name val="Times New Roman"/>
      <family val="1"/>
    </font>
    <font>
      <sz val="10"/>
      <name val="Times New Roman"/>
      <family val="1"/>
    </font>
    <font>
      <sz val="12"/>
      <name val=".VnTime"/>
      <family val="2"/>
    </font>
    <font>
      <sz val="11"/>
      <name val="Arial Narrow"/>
      <family val="2"/>
    </font>
    <font>
      <b/>
      <i/>
      <sz val="10"/>
      <name val="Times New Roman"/>
      <family val="1"/>
    </font>
    <font>
      <sz val="9"/>
      <name val="Times New Roman"/>
      <family val="1"/>
    </font>
    <font>
      <b/>
      <i/>
      <u val="single"/>
      <sz val="10"/>
      <name val="Times New Roman"/>
      <family val="1"/>
    </font>
    <font>
      <b/>
      <i/>
      <sz val="12"/>
      <name val="Times New Roman"/>
      <family val="1"/>
    </font>
    <font>
      <b/>
      <i/>
      <sz val="11"/>
      <name val="Times New Roman"/>
      <family val="1"/>
    </font>
    <font>
      <b/>
      <sz val="12"/>
      <color indexed="8"/>
      <name val="Times New Roman"/>
      <family val="1"/>
    </font>
    <font>
      <sz val="12"/>
      <name val="Arial Narrow"/>
      <family val="2"/>
    </font>
    <font>
      <b/>
      <i/>
      <sz val="12"/>
      <color indexed="10"/>
      <name val="Times New Roman"/>
      <family val="1"/>
    </font>
    <font>
      <i/>
      <sz val="12"/>
      <color indexed="10"/>
      <name val="Times New Roman"/>
      <family val="1"/>
    </font>
    <font>
      <b/>
      <i/>
      <sz val="12"/>
      <color indexed="8"/>
      <name val="Times New Roman"/>
      <family val="1"/>
    </font>
    <font>
      <i/>
      <sz val="12"/>
      <color indexed="8"/>
      <name val="Times New Roman"/>
      <family val="1"/>
    </font>
    <font>
      <b/>
      <sz val="12"/>
      <color indexed="10"/>
      <name val="Times New Roman"/>
      <family val="1"/>
    </font>
    <font>
      <i/>
      <sz val="11"/>
      <name val="Times New Roman"/>
      <family val="1"/>
    </font>
    <font>
      <i/>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8"/>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b/>
      <i/>
      <u val="single"/>
      <sz val="10"/>
      <color indexed="8"/>
      <name val="Times New Roman"/>
      <family val="1"/>
    </font>
    <font>
      <sz val="11"/>
      <color indexed="8"/>
      <name val="Arial Narrow"/>
      <family val="2"/>
    </font>
    <font>
      <sz val="9"/>
      <color indexed="8"/>
      <name val="Times New Roman"/>
      <family val="1"/>
    </font>
    <font>
      <sz val="11"/>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b/>
      <sz val="10"/>
      <color theme="1"/>
      <name val="Times New Roman"/>
      <family val="1"/>
    </font>
    <font>
      <sz val="10"/>
      <color theme="1"/>
      <name val="Times New Roman"/>
      <family val="1"/>
    </font>
    <font>
      <b/>
      <i/>
      <sz val="10"/>
      <color theme="1"/>
      <name val="Times New Roman"/>
      <family val="1"/>
    </font>
    <font>
      <sz val="10"/>
      <color rgb="FF000000"/>
      <name val="Times New Roman"/>
      <family val="1"/>
    </font>
    <font>
      <i/>
      <sz val="10"/>
      <color theme="1"/>
      <name val="Times New Roman"/>
      <family val="1"/>
    </font>
    <font>
      <b/>
      <i/>
      <u val="single"/>
      <sz val="10"/>
      <color theme="1"/>
      <name val="Times New Roman"/>
      <family val="1"/>
    </font>
    <font>
      <sz val="10"/>
      <color rgb="FFFF0000"/>
      <name val="Times New Roman"/>
      <family val="1"/>
    </font>
    <font>
      <sz val="11"/>
      <color theme="1"/>
      <name val="Arial Narrow"/>
      <family val="2"/>
    </font>
    <font>
      <b/>
      <sz val="10"/>
      <color rgb="FF000000"/>
      <name val="Times New Roman"/>
      <family val="1"/>
    </font>
    <font>
      <sz val="9"/>
      <color theme="1"/>
      <name val="Times New Roman"/>
      <family val="1"/>
    </font>
    <font>
      <b/>
      <sz val="12"/>
      <color theme="1"/>
      <name val="Times New Roman"/>
      <family val="1"/>
    </font>
    <font>
      <sz val="12"/>
      <color theme="1"/>
      <name val="Times New Roman"/>
      <family val="1"/>
    </font>
    <font>
      <i/>
      <sz val="12"/>
      <color theme="1"/>
      <name val="Times New Roman"/>
      <family val="1"/>
    </font>
    <font>
      <sz val="12"/>
      <color rgb="FFFF0000"/>
      <name val="Times New Roman"/>
      <family val="1"/>
    </font>
    <font>
      <sz val="11"/>
      <color rgb="FFFF0000"/>
      <name val="Times New Roman"/>
      <family val="1"/>
    </font>
    <font>
      <i/>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style="thin"/>
      <right style="thin"/>
      <top style="thin"/>
      <bottom style="hair"/>
    </border>
    <border>
      <left style="thin"/>
      <right style="thin"/>
      <top style="hair"/>
      <bottom style="hair"/>
    </border>
    <border>
      <left style="thin"/>
      <right style="thin"/>
      <top/>
      <bottom/>
    </border>
    <border>
      <left style="thin"/>
      <right style="thin"/>
      <top style="hair"/>
      <bottom style="thin"/>
    </border>
    <border>
      <left style="thin"/>
      <right style="thin"/>
      <top style="hair"/>
      <bottom>
        <color indexed="63"/>
      </bottom>
    </border>
    <border>
      <left style="thin"/>
      <right style="thin"/>
      <top style="thin"/>
      <bottom/>
    </border>
    <border>
      <left style="thin"/>
      <right>
        <color indexed="63"/>
      </right>
      <top style="thin"/>
      <bottom style="hair"/>
    </border>
    <border>
      <left style="thin"/>
      <right>
        <color indexed="63"/>
      </right>
      <top style="hair"/>
      <bottom style="hair"/>
    </border>
    <border>
      <left style="thin"/>
      <right>
        <color indexed="63"/>
      </right>
      <top>
        <color indexed="63"/>
      </top>
      <bottom>
        <color indexed="63"/>
      </bottom>
    </border>
    <border>
      <left style="thin"/>
      <right>
        <color indexed="63"/>
      </right>
      <top style="hair"/>
      <bottom style="thin"/>
    </border>
    <border>
      <left style="thin"/>
      <right>
        <color indexed="63"/>
      </right>
      <top style="hair"/>
      <bottom>
        <color indexed="63"/>
      </bottom>
    </border>
    <border>
      <left style="thin"/>
      <right style="thin"/>
      <top/>
      <bottom style="thin"/>
    </border>
    <border>
      <left style="thin"/>
      <right style="thin"/>
      <top>
        <color indexed="63"/>
      </top>
      <bottom style="hair"/>
    </border>
    <border>
      <left/>
      <right/>
      <top style="thin"/>
      <bottom style="thin"/>
    </border>
    <border>
      <left/>
      <right style="thin"/>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171" fontId="0" fillId="0" borderId="0" applyFont="0" applyFill="0" applyBorder="0" applyAlignment="0" applyProtection="0"/>
    <xf numFmtId="177" fontId="0" fillId="0" borderId="0" applyFont="0" applyFill="0" applyBorder="0" applyAlignment="0" applyProtection="0"/>
    <xf numFmtId="5" fontId="7" fillId="0" borderId="0" applyFont="0" applyFill="0" applyBorder="0" applyAlignment="0" applyProtection="0"/>
    <xf numFmtId="171" fontId="7" fillId="0" borderId="0" applyFont="0" applyFill="0" applyBorder="0" applyAlignment="0" applyProtection="0"/>
    <xf numFmtId="0" fontId="7" fillId="0" borderId="0" applyFont="0" applyFill="0" applyBorder="0" applyAlignment="0" applyProtection="0"/>
    <xf numFmtId="182" fontId="1"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0" fillId="28" borderId="2"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17"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641">
    <xf numFmtId="0" fontId="0" fillId="0" borderId="0" xfId="0" applyFont="1" applyAlignment="1">
      <alignment/>
    </xf>
    <xf numFmtId="0" fontId="75" fillId="0" borderId="0" xfId="0" applyFont="1" applyAlignment="1">
      <alignment/>
    </xf>
    <xf numFmtId="0" fontId="76" fillId="0" borderId="0" xfId="0" applyFont="1" applyAlignment="1">
      <alignment horizontal="center" vertical="center"/>
    </xf>
    <xf numFmtId="180" fontId="75" fillId="0" borderId="0" xfId="41" applyNumberFormat="1" applyFont="1" applyAlignment="1">
      <alignment/>
    </xf>
    <xf numFmtId="181" fontId="75" fillId="0" borderId="0" xfId="41" applyNumberFormat="1" applyFont="1" applyAlignment="1">
      <alignment/>
    </xf>
    <xf numFmtId="181" fontId="76" fillId="0" borderId="10" xfId="41" applyNumberFormat="1" applyFont="1" applyBorder="1" applyAlignment="1">
      <alignment horizontal="center" vertical="center" wrapText="1"/>
    </xf>
    <xf numFmtId="181" fontId="76" fillId="0" borderId="10" xfId="41" applyNumberFormat="1" applyFont="1" applyBorder="1" applyAlignment="1">
      <alignment/>
    </xf>
    <xf numFmtId="180" fontId="76" fillId="0" borderId="10" xfId="41" applyNumberFormat="1" applyFont="1" applyBorder="1" applyAlignment="1">
      <alignment/>
    </xf>
    <xf numFmtId="0" fontId="76" fillId="0" borderId="0" xfId="0" applyFont="1" applyAlignment="1">
      <alignment/>
    </xf>
    <xf numFmtId="0" fontId="5" fillId="0" borderId="0" xfId="0" applyFont="1" applyAlignment="1">
      <alignment/>
    </xf>
    <xf numFmtId="0" fontId="6" fillId="0" borderId="0" xfId="61" applyFont="1" applyFill="1" applyAlignment="1">
      <alignment horizontal="center" vertical="center"/>
      <protection/>
    </xf>
    <xf numFmtId="183" fontId="6" fillId="0" borderId="10" xfId="46" applyNumberFormat="1" applyFont="1" applyFill="1" applyBorder="1" applyAlignment="1">
      <alignment horizontal="center" vertical="center"/>
    </xf>
    <xf numFmtId="183" fontId="6" fillId="0" borderId="10" xfId="44" applyNumberFormat="1" applyFont="1" applyFill="1" applyBorder="1" applyAlignment="1">
      <alignment horizontal="left" vertical="center"/>
    </xf>
    <xf numFmtId="0" fontId="6" fillId="0" borderId="10" xfId="61" applyFont="1" applyFill="1" applyBorder="1" applyAlignment="1">
      <alignment horizontal="center" vertical="center"/>
      <protection/>
    </xf>
    <xf numFmtId="0" fontId="8" fillId="0" borderId="0" xfId="61" applyFont="1" applyFill="1" applyAlignment="1">
      <alignment horizontal="center" vertical="center"/>
      <protection/>
    </xf>
    <xf numFmtId="0" fontId="10" fillId="0" borderId="0" xfId="61" applyFont="1" applyFill="1" applyAlignment="1">
      <alignment horizontal="center" vertical="center"/>
      <protection/>
    </xf>
    <xf numFmtId="0" fontId="12" fillId="0" borderId="10" xfId="61" applyFont="1" applyFill="1" applyBorder="1" applyAlignment="1">
      <alignment horizontal="left" vertical="center" wrapText="1"/>
      <protection/>
    </xf>
    <xf numFmtId="0" fontId="13" fillId="0" borderId="0" xfId="61" applyFont="1" applyFill="1" applyAlignment="1">
      <alignment horizontal="center" vertical="center"/>
      <protection/>
    </xf>
    <xf numFmtId="0" fontId="8" fillId="0" borderId="10" xfId="61" applyFont="1" applyFill="1" applyBorder="1" applyAlignment="1">
      <alignment horizontal="center" vertical="center"/>
      <protection/>
    </xf>
    <xf numFmtId="0" fontId="9" fillId="0" borderId="10" xfId="61" applyFont="1" applyFill="1" applyBorder="1" applyAlignment="1">
      <alignment vertical="center" wrapText="1"/>
      <protection/>
    </xf>
    <xf numFmtId="0" fontId="13" fillId="0" borderId="10" xfId="61" applyFont="1" applyFill="1" applyBorder="1" applyAlignment="1">
      <alignment horizontal="center" vertical="center"/>
      <protection/>
    </xf>
    <xf numFmtId="0" fontId="14" fillId="0" borderId="10" xfId="61" applyFont="1" applyFill="1" applyBorder="1" applyAlignment="1">
      <alignment horizontal="left" vertical="center" wrapText="1"/>
      <protection/>
    </xf>
    <xf numFmtId="0" fontId="9" fillId="0" borderId="0" xfId="61" applyFont="1" applyFill="1" applyAlignment="1">
      <alignment horizontal="center" vertical="center"/>
      <protection/>
    </xf>
    <xf numFmtId="0" fontId="9" fillId="0" borderId="10" xfId="61" applyFont="1" applyFill="1" applyBorder="1" applyAlignment="1">
      <alignment horizontal="center" vertical="center"/>
      <protection/>
    </xf>
    <xf numFmtId="0" fontId="10" fillId="0" borderId="10" xfId="61" applyFont="1" applyFill="1" applyBorder="1" applyAlignment="1">
      <alignment horizontal="center" vertical="center"/>
      <protection/>
    </xf>
    <xf numFmtId="0" fontId="11" fillId="0" borderId="0" xfId="61" applyFont="1" applyFill="1" applyAlignment="1">
      <alignment horizontal="center" vertical="center"/>
      <protection/>
    </xf>
    <xf numFmtId="183" fontId="9" fillId="0" borderId="0" xfId="61" applyNumberFormat="1" applyFont="1" applyFill="1" applyAlignment="1">
      <alignment horizontal="center" vertical="center"/>
      <protection/>
    </xf>
    <xf numFmtId="183" fontId="6" fillId="0" borderId="10" xfId="61" applyNumberFormat="1" applyFont="1" applyFill="1" applyBorder="1" applyAlignment="1">
      <alignment horizontal="center" vertical="center"/>
      <protection/>
    </xf>
    <xf numFmtId="183" fontId="9" fillId="0" borderId="10" xfId="61" applyNumberFormat="1" applyFont="1" applyFill="1" applyBorder="1" applyAlignment="1">
      <alignment horizontal="center" vertical="center"/>
      <protection/>
    </xf>
    <xf numFmtId="183" fontId="9" fillId="33" borderId="0" xfId="61" applyNumberFormat="1" applyFont="1" applyFill="1" applyAlignment="1">
      <alignment horizontal="center" vertical="center"/>
      <protection/>
    </xf>
    <xf numFmtId="183" fontId="9" fillId="33" borderId="10" xfId="61" applyNumberFormat="1" applyFont="1" applyFill="1" applyBorder="1" applyAlignment="1">
      <alignment horizontal="center" vertical="center"/>
      <protection/>
    </xf>
    <xf numFmtId="183" fontId="6" fillId="0" borderId="0" xfId="61" applyNumberFormat="1" applyFont="1" applyFill="1" applyAlignment="1">
      <alignment horizontal="center" vertical="center"/>
      <protection/>
    </xf>
    <xf numFmtId="0" fontId="6" fillId="0" borderId="0" xfId="61" applyFont="1" applyFill="1">
      <alignment/>
      <protection/>
    </xf>
    <xf numFmtId="0" fontId="9" fillId="0" borderId="0" xfId="61" applyFont="1" applyFill="1">
      <alignment/>
      <protection/>
    </xf>
    <xf numFmtId="0" fontId="9" fillId="0" borderId="0" xfId="61" applyFont="1" applyFill="1" applyAlignment="1">
      <alignment/>
      <protection/>
    </xf>
    <xf numFmtId="0" fontId="9" fillId="0" borderId="0" xfId="61" applyFont="1" applyFill="1" applyAlignment="1">
      <alignment horizontal="center"/>
      <protection/>
    </xf>
    <xf numFmtId="183" fontId="6" fillId="0" borderId="0" xfId="61" applyNumberFormat="1" applyFont="1" applyFill="1">
      <alignment/>
      <protection/>
    </xf>
    <xf numFmtId="181" fontId="75" fillId="34" borderId="0" xfId="41" applyNumberFormat="1" applyFont="1" applyFill="1" applyAlignment="1">
      <alignment/>
    </xf>
    <xf numFmtId="181" fontId="4" fillId="0" borderId="10" xfId="41" applyNumberFormat="1" applyFont="1" applyBorder="1" applyAlignment="1">
      <alignment vertical="center"/>
    </xf>
    <xf numFmtId="181" fontId="4" fillId="34" borderId="10" xfId="41" applyNumberFormat="1" applyFont="1" applyFill="1" applyBorder="1" applyAlignment="1">
      <alignment vertical="center"/>
    </xf>
    <xf numFmtId="180" fontId="4" fillId="0" borderId="10" xfId="41" applyNumberFormat="1" applyFont="1" applyBorder="1" applyAlignment="1">
      <alignment vertical="center"/>
    </xf>
    <xf numFmtId="0" fontId="4" fillId="0" borderId="0" xfId="0" applyFont="1" applyAlignment="1">
      <alignment vertical="center"/>
    </xf>
    <xf numFmtId="0" fontId="77" fillId="0" borderId="0" xfId="0" applyFont="1" applyAlignment="1">
      <alignment/>
    </xf>
    <xf numFmtId="0" fontId="77" fillId="0" borderId="0" xfId="0" applyFont="1" applyAlignment="1">
      <alignment/>
    </xf>
    <xf numFmtId="179" fontId="77" fillId="0" borderId="0" xfId="41" applyNumberFormat="1" applyFont="1" applyAlignment="1">
      <alignment/>
    </xf>
    <xf numFmtId="179" fontId="77" fillId="34" borderId="0" xfId="41" applyNumberFormat="1" applyFont="1" applyFill="1" applyAlignment="1">
      <alignment horizontal="center"/>
    </xf>
    <xf numFmtId="179" fontId="77" fillId="0" borderId="0" xfId="41" applyNumberFormat="1" applyFont="1" applyAlignment="1">
      <alignment/>
    </xf>
    <xf numFmtId="0" fontId="78" fillId="0" borderId="0" xfId="0" applyFont="1" applyAlignment="1">
      <alignment/>
    </xf>
    <xf numFmtId="0" fontId="77" fillId="0" borderId="0" xfId="0" applyFont="1" applyAlignment="1">
      <alignment horizontal="center"/>
    </xf>
    <xf numFmtId="179" fontId="77" fillId="0" borderId="0" xfId="41" applyNumberFormat="1" applyFont="1" applyAlignment="1">
      <alignment horizontal="center"/>
    </xf>
    <xf numFmtId="179" fontId="77" fillId="0" borderId="11" xfId="41" applyNumberFormat="1" applyFont="1" applyBorder="1" applyAlignment="1">
      <alignment horizontal="center"/>
    </xf>
    <xf numFmtId="0" fontId="77" fillId="0" borderId="0" xfId="0" applyFont="1" applyAlignment="1">
      <alignment horizontal="center" vertical="center"/>
    </xf>
    <xf numFmtId="179" fontId="77" fillId="0" borderId="10" xfId="41" applyNumberFormat="1" applyFont="1" applyBorder="1" applyAlignment="1">
      <alignment horizontal="center" vertical="center" wrapText="1"/>
    </xf>
    <xf numFmtId="179" fontId="77" fillId="0" borderId="12" xfId="41" applyNumberFormat="1" applyFont="1" applyBorder="1" applyAlignment="1">
      <alignment horizontal="center" vertical="center" wrapText="1"/>
    </xf>
    <xf numFmtId="171" fontId="77" fillId="0" borderId="0" xfId="0" applyNumberFormat="1" applyFont="1" applyAlignment="1">
      <alignment horizontal="center" vertical="center"/>
    </xf>
    <xf numFmtId="183" fontId="78" fillId="0" borderId="13" xfId="0" applyNumberFormat="1" applyFont="1" applyBorder="1" applyAlignment="1">
      <alignment horizontal="center" vertical="center"/>
    </xf>
    <xf numFmtId="183" fontId="78" fillId="0" borderId="13" xfId="0" applyNumberFormat="1" applyFont="1" applyBorder="1" applyAlignment="1" quotePrefix="1">
      <alignment horizontal="center" vertical="center"/>
    </xf>
    <xf numFmtId="183" fontId="78" fillId="0" borderId="13" xfId="41" applyNumberFormat="1" applyFont="1" applyBorder="1" applyAlignment="1" quotePrefix="1">
      <alignment horizontal="center" vertical="center" wrapText="1"/>
    </xf>
    <xf numFmtId="183" fontId="78" fillId="34" borderId="13" xfId="41" applyNumberFormat="1" applyFont="1" applyFill="1" applyBorder="1" applyAlignment="1" quotePrefix="1">
      <alignment horizontal="center" vertical="center" wrapText="1"/>
    </xf>
    <xf numFmtId="183" fontId="78" fillId="0" borderId="13" xfId="0" applyNumberFormat="1" applyFont="1" applyBorder="1" applyAlignment="1" quotePrefix="1">
      <alignment horizontal="center" vertical="center" wrapText="1"/>
    </xf>
    <xf numFmtId="183" fontId="78" fillId="0" borderId="0" xfId="0" applyNumberFormat="1" applyFont="1" applyAlignment="1">
      <alignment horizontal="center" vertical="center"/>
    </xf>
    <xf numFmtId="183" fontId="77" fillId="0" borderId="14" xfId="0" applyNumberFormat="1" applyFont="1" applyBorder="1" applyAlignment="1">
      <alignment horizontal="center" vertical="center"/>
    </xf>
    <xf numFmtId="171" fontId="77" fillId="34" borderId="14" xfId="41" applyFont="1" applyFill="1" applyBorder="1" applyAlignment="1" quotePrefix="1">
      <alignment horizontal="center" vertical="center" wrapText="1"/>
    </xf>
    <xf numFmtId="183" fontId="77" fillId="0" borderId="0" xfId="0" applyNumberFormat="1" applyFont="1" applyAlignment="1">
      <alignment horizontal="center" vertical="center"/>
    </xf>
    <xf numFmtId="0" fontId="77" fillId="0" borderId="14" xfId="0" applyFont="1" applyBorder="1" applyAlignment="1">
      <alignment horizontal="center" vertical="center" wrapText="1"/>
    </xf>
    <xf numFmtId="0" fontId="77" fillId="0" borderId="14" xfId="0" applyFont="1" applyBorder="1" applyAlignment="1">
      <alignment vertical="center" wrapText="1"/>
    </xf>
    <xf numFmtId="171" fontId="77" fillId="0" borderId="14" xfId="41" applyFont="1" applyBorder="1" applyAlignment="1" quotePrefix="1">
      <alignment horizontal="center" vertical="center" wrapText="1"/>
    </xf>
    <xf numFmtId="0" fontId="77" fillId="34" borderId="14" xfId="0" applyFont="1" applyFill="1" applyBorder="1" applyAlignment="1">
      <alignment horizontal="center" vertical="center"/>
    </xf>
    <xf numFmtId="0" fontId="77" fillId="34" borderId="14" xfId="0" applyFont="1" applyFill="1" applyBorder="1" applyAlignment="1">
      <alignment vertical="center"/>
    </xf>
    <xf numFmtId="179" fontId="77" fillId="34" borderId="14" xfId="41" applyNumberFormat="1" applyFont="1" applyFill="1" applyBorder="1" applyAlignment="1">
      <alignment horizontal="center" vertical="center"/>
    </xf>
    <xf numFmtId="179" fontId="78" fillId="34" borderId="14" xfId="41" applyNumberFormat="1" applyFont="1" applyFill="1" applyBorder="1" applyAlignment="1">
      <alignment horizontal="center" vertical="center"/>
    </xf>
    <xf numFmtId="179" fontId="16" fillId="34" borderId="14" xfId="41" applyNumberFormat="1" applyFont="1" applyFill="1" applyBorder="1" applyAlignment="1">
      <alignment horizontal="center" vertical="center"/>
    </xf>
    <xf numFmtId="0" fontId="78" fillId="34" borderId="14" xfId="0" applyFont="1" applyFill="1" applyBorder="1" applyAlignment="1">
      <alignment horizontal="center" vertical="center"/>
    </xf>
    <xf numFmtId="0" fontId="78" fillId="34" borderId="14" xfId="0" applyFont="1" applyFill="1" applyBorder="1" applyAlignment="1">
      <alignment vertical="center"/>
    </xf>
    <xf numFmtId="0" fontId="77" fillId="34" borderId="0" xfId="0" applyFont="1" applyFill="1" applyAlignment="1">
      <alignment horizontal="center" vertical="center"/>
    </xf>
    <xf numFmtId="0" fontId="78" fillId="34" borderId="0" xfId="0" applyFont="1" applyFill="1" applyAlignment="1">
      <alignment horizontal="center" vertical="center"/>
    </xf>
    <xf numFmtId="183" fontId="16" fillId="34" borderId="14" xfId="45" applyNumberFormat="1" applyFont="1" applyFill="1" applyBorder="1" applyAlignment="1">
      <alignment vertical="center"/>
    </xf>
    <xf numFmtId="0" fontId="79" fillId="34" borderId="0" xfId="0" applyFont="1" applyFill="1" applyAlignment="1">
      <alignment horizontal="center" vertical="center"/>
    </xf>
    <xf numFmtId="0" fontId="78" fillId="0" borderId="0" xfId="0" applyFont="1" applyAlignment="1">
      <alignment/>
    </xf>
    <xf numFmtId="179" fontId="78" fillId="0" borderId="0" xfId="41" applyNumberFormat="1" applyFont="1" applyAlignment="1">
      <alignment/>
    </xf>
    <xf numFmtId="179" fontId="78" fillId="34" borderId="0" xfId="41" applyNumberFormat="1" applyFont="1" applyFill="1" applyAlignment="1">
      <alignment horizontal="center"/>
    </xf>
    <xf numFmtId="183" fontId="3" fillId="0" borderId="10" xfId="43" applyNumberFormat="1" applyFont="1" applyBorder="1" applyAlignment="1">
      <alignment horizontal="left" vertical="center"/>
    </xf>
    <xf numFmtId="4" fontId="3" fillId="0" borderId="10" xfId="41" applyNumberFormat="1" applyFont="1" applyBorder="1" applyAlignment="1">
      <alignment vertical="center"/>
    </xf>
    <xf numFmtId="171" fontId="78" fillId="0" borderId="10" xfId="41" applyFont="1" applyBorder="1" applyAlignment="1" quotePrefix="1">
      <alignment horizontal="center" vertical="center" wrapText="1"/>
    </xf>
    <xf numFmtId="193" fontId="16" fillId="0" borderId="10" xfId="44" applyNumberFormat="1" applyFont="1" applyBorder="1" applyAlignment="1">
      <alignment horizontal="right" vertical="center"/>
    </xf>
    <xf numFmtId="185" fontId="16" fillId="0" borderId="10" xfId="44" applyNumberFormat="1" applyFont="1" applyBorder="1" applyAlignment="1">
      <alignment horizontal="center" vertical="center"/>
    </xf>
    <xf numFmtId="190" fontId="3" fillId="0" borderId="10" xfId="41" applyNumberFormat="1" applyFont="1" applyBorder="1" applyAlignment="1">
      <alignment vertical="center"/>
    </xf>
    <xf numFmtId="179" fontId="78" fillId="34" borderId="10" xfId="41" applyNumberFormat="1" applyFont="1" applyFill="1" applyBorder="1" applyAlignment="1">
      <alignment horizontal="center" vertical="center"/>
    </xf>
    <xf numFmtId="0" fontId="14" fillId="0" borderId="10" xfId="64" applyFont="1" applyBorder="1" applyAlignment="1">
      <alignment horizontal="left" vertical="center"/>
      <protection/>
    </xf>
    <xf numFmtId="0" fontId="14" fillId="0" borderId="10" xfId="64" applyFont="1" applyBorder="1" applyAlignment="1">
      <alignment horizontal="right" vertical="center"/>
      <protection/>
    </xf>
    <xf numFmtId="0" fontId="78" fillId="0" borderId="10" xfId="0" applyFont="1" applyBorder="1" applyAlignment="1">
      <alignment horizontal="center" vertical="center" wrapText="1"/>
    </xf>
    <xf numFmtId="171" fontId="78" fillId="0" borderId="10" xfId="41" applyNumberFormat="1" applyFont="1" applyBorder="1" applyAlignment="1" quotePrefix="1">
      <alignment horizontal="center" vertical="center" wrapText="1"/>
    </xf>
    <xf numFmtId="185" fontId="78" fillId="0" borderId="0" xfId="0" applyNumberFormat="1" applyFont="1" applyAlignment="1">
      <alignment horizontal="center" vertical="center"/>
    </xf>
    <xf numFmtId="181" fontId="77" fillId="0" borderId="0" xfId="41" applyNumberFormat="1" applyFont="1" applyAlignment="1">
      <alignment/>
    </xf>
    <xf numFmtId="181" fontId="77" fillId="0" borderId="0" xfId="41" applyNumberFormat="1" applyFont="1" applyAlignment="1">
      <alignment/>
    </xf>
    <xf numFmtId="181" fontId="77" fillId="0" borderId="0" xfId="41" applyNumberFormat="1" applyFont="1" applyAlignment="1">
      <alignment horizontal="center"/>
    </xf>
    <xf numFmtId="181" fontId="78" fillId="0" borderId="13" xfId="41" applyNumberFormat="1" applyFont="1" applyBorder="1" applyAlignment="1">
      <alignment horizontal="center" vertical="center" wrapText="1"/>
    </xf>
    <xf numFmtId="181" fontId="77" fillId="34" borderId="14" xfId="41" applyNumberFormat="1" applyFont="1" applyFill="1" applyBorder="1" applyAlignment="1" quotePrefix="1">
      <alignment horizontal="center" vertical="center" wrapText="1"/>
    </xf>
    <xf numFmtId="181" fontId="77" fillId="0" borderId="14" xfId="41" applyNumberFormat="1" applyFont="1" applyBorder="1" applyAlignment="1" quotePrefix="1">
      <alignment horizontal="center" vertical="center" wrapText="1"/>
    </xf>
    <xf numFmtId="181" fontId="77" fillId="34" borderId="14" xfId="41" applyNumberFormat="1" applyFont="1" applyFill="1" applyBorder="1" applyAlignment="1">
      <alignment horizontal="center" vertical="center"/>
    </xf>
    <xf numFmtId="181" fontId="78" fillId="34" borderId="14" xfId="41" applyNumberFormat="1" applyFont="1" applyFill="1" applyBorder="1" applyAlignment="1">
      <alignment horizontal="center" vertical="center"/>
    </xf>
    <xf numFmtId="181" fontId="16" fillId="34" borderId="10" xfId="41" applyNumberFormat="1" applyFont="1" applyFill="1" applyBorder="1" applyAlignment="1">
      <alignment horizontal="center" vertical="center"/>
    </xf>
    <xf numFmtId="181" fontId="78" fillId="0" borderId="0" xfId="41" applyNumberFormat="1" applyFont="1" applyAlignment="1">
      <alignment/>
    </xf>
    <xf numFmtId="0" fontId="77" fillId="0" borderId="15" xfId="0" applyFont="1" applyBorder="1" applyAlignment="1">
      <alignment horizontal="center" vertical="center" wrapText="1"/>
    </xf>
    <xf numFmtId="0" fontId="77" fillId="0" borderId="15" xfId="0" applyFont="1" applyBorder="1" applyAlignment="1">
      <alignment vertical="center" wrapText="1"/>
    </xf>
    <xf numFmtId="171" fontId="77" fillId="0" borderId="15" xfId="41" applyFont="1" applyBorder="1" applyAlignment="1" quotePrefix="1">
      <alignment horizontal="center" vertical="center" wrapText="1"/>
    </xf>
    <xf numFmtId="183" fontId="16" fillId="35" borderId="10" xfId="43" applyNumberFormat="1" applyFont="1" applyFill="1" applyBorder="1" applyAlignment="1">
      <alignment horizontal="left" vertical="center"/>
    </xf>
    <xf numFmtId="179" fontId="77" fillId="34" borderId="10" xfId="41" applyNumberFormat="1" applyFont="1" applyFill="1" applyBorder="1" applyAlignment="1">
      <alignment horizontal="center" vertical="center"/>
    </xf>
    <xf numFmtId="179" fontId="16" fillId="35" borderId="10" xfId="43" applyNumberFormat="1" applyFont="1" applyFill="1" applyBorder="1" applyAlignment="1">
      <alignment horizontal="center" vertical="center"/>
    </xf>
    <xf numFmtId="183" fontId="77" fillId="0" borderId="10" xfId="0" applyNumberFormat="1" applyFont="1" applyBorder="1" applyAlignment="1">
      <alignment horizontal="center" vertical="center"/>
    </xf>
    <xf numFmtId="0" fontId="78" fillId="34" borderId="10" xfId="0" applyFont="1" applyFill="1" applyBorder="1" applyAlignment="1">
      <alignment horizontal="center" vertical="center"/>
    </xf>
    <xf numFmtId="180" fontId="78" fillId="0" borderId="10" xfId="41" applyNumberFormat="1" applyFont="1" applyBorder="1" applyAlignment="1" quotePrefix="1">
      <alignment horizontal="center" vertical="center" wrapText="1"/>
    </xf>
    <xf numFmtId="0" fontId="80" fillId="0" borderId="10" xfId="0" applyFont="1" applyBorder="1" applyAlignment="1" quotePrefix="1">
      <alignment horizontal="center" wrapText="1"/>
    </xf>
    <xf numFmtId="0" fontId="80" fillId="0" borderId="10" xfId="0" applyFont="1" applyBorder="1" applyAlignment="1">
      <alignment wrapText="1"/>
    </xf>
    <xf numFmtId="171" fontId="78" fillId="34" borderId="10" xfId="41" applyFont="1" applyFill="1" applyBorder="1" applyAlignment="1" quotePrefix="1">
      <alignment horizontal="center" vertical="center" wrapText="1"/>
    </xf>
    <xf numFmtId="181" fontId="78" fillId="34" borderId="10" xfId="41" applyNumberFormat="1" applyFont="1" applyFill="1" applyBorder="1" applyAlignment="1">
      <alignment horizontal="right" vertical="center"/>
    </xf>
    <xf numFmtId="179" fontId="81" fillId="34" borderId="10" xfId="41" applyNumberFormat="1" applyFont="1" applyFill="1" applyBorder="1" applyAlignment="1">
      <alignment horizontal="center" vertical="center"/>
    </xf>
    <xf numFmtId="171" fontId="78" fillId="34" borderId="10" xfId="41" applyFont="1" applyFill="1" applyBorder="1" applyAlignment="1">
      <alignment horizontal="right" vertical="center"/>
    </xf>
    <xf numFmtId="171" fontId="78" fillId="34" borderId="10" xfId="0" applyNumberFormat="1" applyFont="1" applyFill="1" applyBorder="1" applyAlignment="1">
      <alignment horizontal="center" vertical="center"/>
    </xf>
    <xf numFmtId="0" fontId="78" fillId="34" borderId="10" xfId="0" applyFont="1" applyFill="1" applyBorder="1" applyAlignment="1">
      <alignment vertical="center"/>
    </xf>
    <xf numFmtId="183" fontId="77" fillId="0" borderId="0" xfId="0" applyNumberFormat="1" applyFont="1" applyBorder="1" applyAlignment="1">
      <alignment horizontal="center" vertical="center"/>
    </xf>
    <xf numFmtId="183" fontId="77" fillId="34" borderId="14" xfId="41" applyNumberFormat="1" applyFont="1" applyFill="1" applyBorder="1" applyAlignment="1">
      <alignment horizontal="center" vertical="center"/>
    </xf>
    <xf numFmtId="196" fontId="78" fillId="34" borderId="14" xfId="41" applyNumberFormat="1" applyFont="1" applyFill="1" applyBorder="1" applyAlignment="1">
      <alignment horizontal="center" vertical="center"/>
    </xf>
    <xf numFmtId="183" fontId="15" fillId="34" borderId="14" xfId="45" applyNumberFormat="1" applyFont="1" applyFill="1" applyBorder="1" applyAlignment="1">
      <alignment vertical="center"/>
    </xf>
    <xf numFmtId="0" fontId="78" fillId="34" borderId="14" xfId="0" applyFont="1" applyFill="1" applyBorder="1" applyAlignment="1">
      <alignment horizontal="left" vertical="center"/>
    </xf>
    <xf numFmtId="183" fontId="16" fillId="34" borderId="14" xfId="45" applyNumberFormat="1" applyFont="1" applyFill="1" applyBorder="1" applyAlignment="1">
      <alignment horizontal="left" vertical="center"/>
    </xf>
    <xf numFmtId="0" fontId="82" fillId="0" borderId="14" xfId="0" applyFont="1" applyBorder="1" applyAlignment="1">
      <alignment vertical="center" wrapText="1"/>
    </xf>
    <xf numFmtId="183" fontId="16" fillId="0" borderId="10" xfId="43" applyNumberFormat="1" applyFont="1" applyBorder="1" applyAlignment="1">
      <alignment horizontal="left" vertical="center"/>
    </xf>
    <xf numFmtId="4" fontId="16" fillId="0" borderId="10" xfId="41" applyNumberFormat="1" applyFont="1" applyBorder="1" applyAlignment="1">
      <alignment horizontal="right" vertical="center"/>
    </xf>
    <xf numFmtId="191" fontId="16" fillId="0" borderId="10" xfId="43" applyNumberFormat="1" applyFont="1" applyBorder="1" applyAlignment="1">
      <alignment horizontal="right" vertical="center"/>
    </xf>
    <xf numFmtId="190" fontId="16" fillId="0" borderId="10" xfId="43" applyNumberFormat="1" applyFont="1" applyBorder="1" applyAlignment="1">
      <alignment horizontal="right" vertical="center"/>
    </xf>
    <xf numFmtId="183" fontId="16" fillId="34" borderId="10" xfId="41" applyNumberFormat="1" applyFont="1" applyFill="1" applyBorder="1" applyAlignment="1">
      <alignment horizontal="center" vertical="center"/>
    </xf>
    <xf numFmtId="171" fontId="77" fillId="34" borderId="0" xfId="41" applyFont="1" applyFill="1" applyAlignment="1">
      <alignment horizontal="center" vertical="center"/>
    </xf>
    <xf numFmtId="0" fontId="78" fillId="34" borderId="15" xfId="0" applyFont="1" applyFill="1" applyBorder="1" applyAlignment="1">
      <alignment horizontal="center" vertical="center"/>
    </xf>
    <xf numFmtId="183" fontId="16" fillId="35" borderId="15" xfId="43" applyNumberFormat="1" applyFont="1" applyFill="1" applyBorder="1" applyAlignment="1">
      <alignment horizontal="left" vertical="center"/>
    </xf>
    <xf numFmtId="179" fontId="77" fillId="34" borderId="15" xfId="41" applyNumberFormat="1" applyFont="1" applyFill="1" applyBorder="1" applyAlignment="1">
      <alignment horizontal="center" vertical="center"/>
    </xf>
    <xf numFmtId="179" fontId="16" fillId="35" borderId="15" xfId="43" applyNumberFormat="1" applyFont="1" applyFill="1" applyBorder="1" applyAlignment="1">
      <alignment horizontal="center" vertical="center"/>
    </xf>
    <xf numFmtId="193" fontId="16" fillId="0" borderId="15" xfId="44" applyNumberFormat="1" applyFont="1" applyBorder="1" applyAlignment="1">
      <alignment horizontal="right" vertical="center"/>
    </xf>
    <xf numFmtId="179" fontId="78" fillId="34" borderId="15" xfId="41" applyNumberFormat="1" applyFont="1" applyFill="1" applyBorder="1" applyAlignment="1">
      <alignment horizontal="center" vertical="center"/>
    </xf>
    <xf numFmtId="183" fontId="78" fillId="0" borderId="0" xfId="0" applyNumberFormat="1" applyFont="1" applyAlignment="1">
      <alignment horizontal="center" vertical="center"/>
    </xf>
    <xf numFmtId="194" fontId="77" fillId="34" borderId="14" xfId="41" applyNumberFormat="1" applyFont="1" applyFill="1" applyBorder="1" applyAlignment="1">
      <alignment horizontal="center" vertical="center"/>
    </xf>
    <xf numFmtId="199" fontId="77" fillId="34" borderId="0" xfId="0" applyNumberFormat="1" applyFont="1" applyFill="1" applyAlignment="1">
      <alignment horizontal="center" vertical="center"/>
    </xf>
    <xf numFmtId="0" fontId="15" fillId="34" borderId="14" xfId="0" applyFont="1" applyFill="1" applyBorder="1" applyAlignment="1">
      <alignment wrapText="1"/>
    </xf>
    <xf numFmtId="196" fontId="77" fillId="34" borderId="14" xfId="41" applyNumberFormat="1" applyFont="1" applyFill="1" applyBorder="1" applyAlignment="1">
      <alignment horizontal="center" vertical="center"/>
    </xf>
    <xf numFmtId="171" fontId="78" fillId="34" borderId="0" xfId="41" applyFont="1" applyFill="1" applyAlignment="1">
      <alignment horizontal="center" vertical="center"/>
    </xf>
    <xf numFmtId="171" fontId="78" fillId="34" borderId="14" xfId="41" applyFont="1" applyFill="1" applyBorder="1" applyAlignment="1">
      <alignment horizontal="left" vertical="center"/>
    </xf>
    <xf numFmtId="171" fontId="78" fillId="34" borderId="14" xfId="41" applyFont="1" applyFill="1" applyBorder="1" applyAlignment="1">
      <alignment horizontal="center" vertical="center"/>
    </xf>
    <xf numFmtId="196" fontId="78" fillId="34" borderId="0" xfId="0" applyNumberFormat="1" applyFont="1" applyFill="1" applyAlignment="1">
      <alignment horizontal="center" vertical="center"/>
    </xf>
    <xf numFmtId="171" fontId="77" fillId="34" borderId="14" xfId="41" applyFont="1" applyFill="1" applyBorder="1" applyAlignment="1">
      <alignment horizontal="center" vertical="center"/>
    </xf>
    <xf numFmtId="0" fontId="78" fillId="0" borderId="15" xfId="0" applyFont="1" applyBorder="1" applyAlignment="1">
      <alignment horizontal="center" vertical="center" wrapText="1"/>
    </xf>
    <xf numFmtId="0" fontId="78" fillId="0" borderId="15" xfId="0" applyFont="1" applyBorder="1" applyAlignment="1">
      <alignment vertical="center" wrapText="1"/>
    </xf>
    <xf numFmtId="179" fontId="83" fillId="34" borderId="14" xfId="41" applyNumberFormat="1" applyFont="1" applyFill="1" applyBorder="1" applyAlignment="1">
      <alignment horizontal="center" vertical="center"/>
    </xf>
    <xf numFmtId="183" fontId="6" fillId="0" borderId="0" xfId="46" applyNumberFormat="1" applyFont="1" applyFill="1" applyBorder="1" applyAlignment="1">
      <alignment horizontal="center" vertical="center"/>
    </xf>
    <xf numFmtId="183" fontId="78" fillId="0" borderId="0" xfId="0" applyNumberFormat="1" applyFont="1" applyAlignment="1">
      <alignment horizontal="center" vertical="center"/>
    </xf>
    <xf numFmtId="183" fontId="78" fillId="0" borderId="0" xfId="0" applyNumberFormat="1" applyFont="1" applyAlignment="1">
      <alignment horizontal="center" vertical="center"/>
    </xf>
    <xf numFmtId="0" fontId="84" fillId="34" borderId="0" xfId="0" applyFont="1" applyFill="1" applyAlignment="1">
      <alignment horizontal="center" vertical="center"/>
    </xf>
    <xf numFmtId="0" fontId="15" fillId="34" borderId="14" xfId="0" applyFont="1" applyFill="1" applyBorder="1" applyAlignment="1">
      <alignment horizontal="center" vertical="center"/>
    </xf>
    <xf numFmtId="179" fontId="15" fillId="34" borderId="14" xfId="41" applyNumberFormat="1" applyFont="1" applyFill="1" applyBorder="1" applyAlignment="1">
      <alignment horizontal="center" vertical="center"/>
    </xf>
    <xf numFmtId="183" fontId="15" fillId="34" borderId="14" xfId="41" applyNumberFormat="1" applyFont="1" applyFill="1" applyBorder="1" applyAlignment="1">
      <alignment horizontal="center" vertical="center"/>
    </xf>
    <xf numFmtId="0" fontId="16" fillId="0" borderId="10" xfId="61" applyFont="1" applyFill="1" applyBorder="1" applyAlignment="1">
      <alignment horizontal="center" vertical="center"/>
      <protection/>
    </xf>
    <xf numFmtId="183" fontId="16" fillId="0" borderId="10" xfId="44" applyNumberFormat="1" applyFont="1" applyFill="1" applyBorder="1" applyAlignment="1">
      <alignment horizontal="left" vertical="center"/>
    </xf>
    <xf numFmtId="179" fontId="16" fillId="0" borderId="10" xfId="46" applyNumberFormat="1" applyFont="1" applyFill="1" applyBorder="1" applyAlignment="1">
      <alignment horizontal="center" vertical="center"/>
    </xf>
    <xf numFmtId="185" fontId="16" fillId="0" borderId="10" xfId="46" applyNumberFormat="1" applyFont="1" applyFill="1" applyBorder="1" applyAlignment="1">
      <alignment horizontal="center" vertical="center"/>
    </xf>
    <xf numFmtId="179" fontId="16" fillId="0" borderId="10" xfId="46" applyNumberFormat="1" applyFont="1" applyFill="1" applyBorder="1" applyAlignment="1">
      <alignment horizontal="right" vertical="center"/>
    </xf>
    <xf numFmtId="181" fontId="16" fillId="0" borderId="10" xfId="41" applyNumberFormat="1" applyFont="1" applyFill="1" applyBorder="1" applyAlignment="1">
      <alignment horizontal="center" vertical="center"/>
    </xf>
    <xf numFmtId="183" fontId="16" fillId="0" borderId="15" xfId="44" applyNumberFormat="1" applyFont="1" applyFill="1" applyBorder="1" applyAlignment="1">
      <alignment horizontal="left" vertical="center"/>
    </xf>
    <xf numFmtId="179" fontId="16" fillId="0" borderId="15" xfId="46" applyNumberFormat="1" applyFont="1" applyFill="1" applyBorder="1" applyAlignment="1">
      <alignment horizontal="center" vertical="center"/>
    </xf>
    <xf numFmtId="185" fontId="16" fillId="0" borderId="15" xfId="46" applyNumberFormat="1" applyFont="1" applyFill="1" applyBorder="1" applyAlignment="1">
      <alignment horizontal="center" vertical="center"/>
    </xf>
    <xf numFmtId="179" fontId="16" fillId="0" borderId="15" xfId="46" applyNumberFormat="1" applyFont="1" applyFill="1" applyBorder="1" applyAlignment="1">
      <alignment horizontal="right" vertical="center"/>
    </xf>
    <xf numFmtId="0" fontId="15" fillId="0" borderId="10" xfId="61" applyFont="1" applyFill="1" applyBorder="1" applyAlignment="1">
      <alignment horizontal="center" vertical="center"/>
      <protection/>
    </xf>
    <xf numFmtId="171" fontId="15" fillId="34" borderId="14" xfId="41" applyNumberFormat="1" applyFont="1" applyFill="1" applyBorder="1" applyAlignment="1">
      <alignment horizontal="center" vertical="center"/>
    </xf>
    <xf numFmtId="0" fontId="15" fillId="0" borderId="15" xfId="61" applyFont="1" applyFill="1" applyBorder="1" applyAlignment="1">
      <alignment horizontal="center" vertical="center"/>
      <protection/>
    </xf>
    <xf numFmtId="0" fontId="18" fillId="34" borderId="14" xfId="0" applyFont="1" applyFill="1" applyBorder="1" applyAlignment="1">
      <alignment vertical="center"/>
    </xf>
    <xf numFmtId="4" fontId="18" fillId="34" borderId="14" xfId="41" applyNumberFormat="1" applyFont="1" applyFill="1" applyBorder="1" applyAlignment="1">
      <alignment horizontal="center" vertical="center"/>
    </xf>
    <xf numFmtId="171" fontId="16" fillId="34" borderId="14" xfId="41" applyNumberFormat="1" applyFont="1" applyFill="1" applyBorder="1" applyAlignment="1">
      <alignment horizontal="center" vertical="center"/>
    </xf>
    <xf numFmtId="3" fontId="18" fillId="34" borderId="14" xfId="41" applyNumberFormat="1" applyFont="1" applyFill="1" applyBorder="1" applyAlignment="1">
      <alignment horizontal="right" vertical="center"/>
    </xf>
    <xf numFmtId="0" fontId="18" fillId="34" borderId="14" xfId="0" applyFont="1" applyFill="1" applyBorder="1" applyAlignment="1">
      <alignment horizontal="center" vertical="center"/>
    </xf>
    <xf numFmtId="3" fontId="18" fillId="34" borderId="14" xfId="41" applyNumberFormat="1" applyFont="1" applyFill="1" applyBorder="1" applyAlignment="1">
      <alignment horizontal="center" vertical="center"/>
    </xf>
    <xf numFmtId="179" fontId="18" fillId="34" borderId="14" xfId="41" applyNumberFormat="1" applyFont="1" applyFill="1" applyBorder="1" applyAlignment="1">
      <alignment horizontal="center" vertical="center"/>
    </xf>
    <xf numFmtId="179" fontId="18" fillId="34" borderId="14" xfId="41" applyNumberFormat="1" applyFont="1" applyFill="1" applyBorder="1" applyAlignment="1">
      <alignment horizontal="center" vertical="center" wrapText="1"/>
    </xf>
    <xf numFmtId="0" fontId="18" fillId="34" borderId="14" xfId="0" applyFont="1" applyFill="1" applyBorder="1" applyAlignment="1">
      <alignment horizontal="left" vertical="center"/>
    </xf>
    <xf numFmtId="0" fontId="18" fillId="34" borderId="16" xfId="0" applyFont="1" applyFill="1" applyBorder="1" applyAlignment="1">
      <alignment horizontal="center" vertical="center"/>
    </xf>
    <xf numFmtId="0" fontId="18" fillId="34" borderId="16" xfId="0" applyFont="1" applyFill="1" applyBorder="1" applyAlignment="1">
      <alignment horizontal="left" vertical="center"/>
    </xf>
    <xf numFmtId="3" fontId="18" fillId="34" borderId="16" xfId="41" applyNumberFormat="1" applyFont="1" applyFill="1" applyBorder="1" applyAlignment="1">
      <alignment horizontal="center" vertical="center"/>
    </xf>
    <xf numFmtId="4" fontId="18" fillId="34" borderId="16" xfId="41" applyNumberFormat="1" applyFont="1" applyFill="1" applyBorder="1" applyAlignment="1">
      <alignment horizontal="center" vertical="center"/>
    </xf>
    <xf numFmtId="3" fontId="18" fillId="34" borderId="16" xfId="41" applyNumberFormat="1" applyFont="1" applyFill="1" applyBorder="1" applyAlignment="1">
      <alignment horizontal="right" vertical="center"/>
    </xf>
    <xf numFmtId="179" fontId="18" fillId="34" borderId="16" xfId="41" applyNumberFormat="1" applyFont="1" applyFill="1" applyBorder="1" applyAlignment="1">
      <alignment horizontal="center" vertical="center"/>
    </xf>
    <xf numFmtId="0" fontId="18" fillId="34" borderId="17" xfId="0" applyFont="1" applyFill="1" applyBorder="1" applyAlignment="1">
      <alignment horizontal="center" vertical="center"/>
    </xf>
    <xf numFmtId="0" fontId="18" fillId="34" borderId="17" xfId="0" applyFont="1" applyFill="1" applyBorder="1" applyAlignment="1">
      <alignment horizontal="left" vertical="center"/>
    </xf>
    <xf numFmtId="3" fontId="18" fillId="34" borderId="17" xfId="41" applyNumberFormat="1" applyFont="1" applyFill="1" applyBorder="1" applyAlignment="1">
      <alignment horizontal="center" vertical="center"/>
    </xf>
    <xf numFmtId="4" fontId="18" fillId="34" borderId="17" xfId="41" applyNumberFormat="1" applyFont="1" applyFill="1" applyBorder="1" applyAlignment="1">
      <alignment horizontal="center" vertical="center"/>
    </xf>
    <xf numFmtId="179" fontId="18" fillId="34" borderId="17" xfId="41" applyNumberFormat="1" applyFont="1" applyFill="1" applyBorder="1" applyAlignment="1">
      <alignment horizontal="center" vertical="center"/>
    </xf>
    <xf numFmtId="0" fontId="15" fillId="34" borderId="14" xfId="0" applyFont="1" applyFill="1" applyBorder="1" applyAlignment="1">
      <alignment vertical="center"/>
    </xf>
    <xf numFmtId="0" fontId="16" fillId="34" borderId="14" xfId="0" applyFont="1" applyFill="1" applyBorder="1" applyAlignment="1">
      <alignment horizontal="center" vertical="center"/>
    </xf>
    <xf numFmtId="0" fontId="16" fillId="34" borderId="14" xfId="0" applyFont="1" applyFill="1" applyBorder="1" applyAlignment="1">
      <alignment horizontal="left" vertical="center"/>
    </xf>
    <xf numFmtId="196" fontId="16" fillId="34" borderId="14" xfId="41" applyNumberFormat="1" applyFont="1" applyFill="1" applyBorder="1" applyAlignment="1">
      <alignment horizontal="center" vertical="center"/>
    </xf>
    <xf numFmtId="185" fontId="16" fillId="34" borderId="14" xfId="41" applyNumberFormat="1" applyFont="1" applyFill="1" applyBorder="1" applyAlignment="1">
      <alignment horizontal="center" vertical="center"/>
    </xf>
    <xf numFmtId="0" fontId="16" fillId="34" borderId="0" xfId="0" applyFont="1" applyFill="1" applyAlignment="1">
      <alignment horizontal="left" vertical="center"/>
    </xf>
    <xf numFmtId="196" fontId="16" fillId="34" borderId="14" xfId="41" applyNumberFormat="1" applyFont="1" applyFill="1" applyBorder="1" applyAlignment="1">
      <alignment horizontal="right" vertical="center"/>
    </xf>
    <xf numFmtId="0" fontId="16" fillId="34" borderId="14" xfId="0" applyFont="1" applyFill="1" applyBorder="1" applyAlignment="1">
      <alignment vertical="center"/>
    </xf>
    <xf numFmtId="0" fontId="16" fillId="34" borderId="10" xfId="0" applyFont="1" applyFill="1" applyBorder="1" applyAlignment="1">
      <alignment horizontal="center" vertical="center"/>
    </xf>
    <xf numFmtId="179" fontId="15" fillId="34" borderId="10" xfId="41" applyNumberFormat="1" applyFont="1" applyFill="1" applyBorder="1" applyAlignment="1">
      <alignment horizontal="center" vertical="center"/>
    </xf>
    <xf numFmtId="179" fontId="16" fillId="34" borderId="10" xfId="41" applyNumberFormat="1" applyFont="1" applyFill="1" applyBorder="1" applyAlignment="1">
      <alignment horizontal="center" vertical="center"/>
    </xf>
    <xf numFmtId="171" fontId="15" fillId="34" borderId="10" xfId="41" applyFont="1" applyFill="1" applyBorder="1" applyAlignment="1">
      <alignment horizontal="center" vertical="center"/>
    </xf>
    <xf numFmtId="0" fontId="19" fillId="0" borderId="10" xfId="61" applyFont="1" applyFill="1" applyBorder="1" applyAlignment="1">
      <alignment horizontal="center" vertical="center"/>
      <protection/>
    </xf>
    <xf numFmtId="0" fontId="15" fillId="0" borderId="10" xfId="61" applyFont="1" applyFill="1" applyBorder="1" applyAlignment="1">
      <alignment vertical="center" wrapText="1"/>
      <protection/>
    </xf>
    <xf numFmtId="179" fontId="15" fillId="0" borderId="10" xfId="46" applyNumberFormat="1" applyFont="1" applyFill="1" applyBorder="1" applyAlignment="1">
      <alignment horizontal="center" vertical="center"/>
    </xf>
    <xf numFmtId="181" fontId="4" fillId="0" borderId="10" xfId="41" applyNumberFormat="1" applyFont="1" applyBorder="1" applyAlignment="1">
      <alignment/>
    </xf>
    <xf numFmtId="181" fontId="4" fillId="34" borderId="10" xfId="41" applyNumberFormat="1" applyFont="1" applyFill="1" applyBorder="1" applyAlignment="1">
      <alignment/>
    </xf>
    <xf numFmtId="180" fontId="4" fillId="0" borderId="10" xfId="41" applyNumberFormat="1" applyFont="1" applyBorder="1" applyAlignment="1">
      <alignment/>
    </xf>
    <xf numFmtId="0" fontId="4" fillId="0" borderId="0" xfId="0" applyFont="1" applyAlignment="1">
      <alignment/>
    </xf>
    <xf numFmtId="181" fontId="5" fillId="0" borderId="10" xfId="41" applyNumberFormat="1" applyFont="1" applyBorder="1" applyAlignment="1">
      <alignment/>
    </xf>
    <xf numFmtId="179" fontId="78" fillId="34" borderId="0" xfId="0" applyNumberFormat="1" applyFont="1" applyFill="1" applyAlignment="1">
      <alignment horizontal="center" vertical="center"/>
    </xf>
    <xf numFmtId="171" fontId="77" fillId="0" borderId="10" xfId="41" applyFont="1" applyBorder="1" applyAlignment="1" quotePrefix="1">
      <alignment horizontal="center" vertical="center" wrapText="1"/>
    </xf>
    <xf numFmtId="181" fontId="77" fillId="0" borderId="10" xfId="41" applyNumberFormat="1" applyFont="1" applyBorder="1" applyAlignment="1" quotePrefix="1">
      <alignment horizontal="center" vertical="center" wrapText="1"/>
    </xf>
    <xf numFmtId="0" fontId="16" fillId="0" borderId="10" xfId="0" applyFont="1" applyFill="1" applyBorder="1" applyAlignment="1">
      <alignment/>
    </xf>
    <xf numFmtId="179" fontId="16" fillId="0" borderId="10" xfId="41" applyNumberFormat="1" applyFont="1" applyFill="1" applyBorder="1" applyAlignment="1">
      <alignment/>
    </xf>
    <xf numFmtId="2" fontId="16" fillId="0" borderId="10" xfId="0" applyNumberFormat="1" applyFont="1" applyFill="1" applyBorder="1" applyAlignment="1">
      <alignment/>
    </xf>
    <xf numFmtId="0" fontId="16" fillId="34" borderId="10" xfId="0" applyFont="1" applyFill="1" applyBorder="1" applyAlignment="1">
      <alignment/>
    </xf>
    <xf numFmtId="179" fontId="16" fillId="34" borderId="10" xfId="41" applyNumberFormat="1" applyFont="1" applyFill="1" applyBorder="1" applyAlignment="1">
      <alignment/>
    </xf>
    <xf numFmtId="2" fontId="16" fillId="34" borderId="10" xfId="0" applyNumberFormat="1" applyFont="1" applyFill="1" applyBorder="1" applyAlignment="1">
      <alignment/>
    </xf>
    <xf numFmtId="0" fontId="78" fillId="0" borderId="10" xfId="0" applyFont="1" applyFill="1" applyBorder="1" applyAlignment="1">
      <alignment/>
    </xf>
    <xf numFmtId="179" fontId="78" fillId="0" borderId="10" xfId="41" applyNumberFormat="1" applyFont="1" applyFill="1" applyBorder="1" applyAlignment="1">
      <alignment/>
    </xf>
    <xf numFmtId="0" fontId="85" fillId="0" borderId="10" xfId="0" applyFont="1" applyBorder="1" applyAlignment="1">
      <alignment wrapText="1"/>
    </xf>
    <xf numFmtId="171" fontId="77" fillId="34" borderId="10" xfId="41" applyFont="1" applyFill="1" applyBorder="1" applyAlignment="1" quotePrefix="1">
      <alignment horizontal="center" vertical="center" wrapText="1"/>
    </xf>
    <xf numFmtId="171" fontId="77" fillId="34" borderId="10" xfId="0" applyNumberFormat="1" applyFont="1" applyFill="1" applyBorder="1" applyAlignment="1">
      <alignment horizontal="center" vertical="center"/>
    </xf>
    <xf numFmtId="0" fontId="3" fillId="0" borderId="10" xfId="0" applyFont="1" applyFill="1" applyBorder="1" applyAlignment="1" quotePrefix="1">
      <alignment horizontal="center"/>
    </xf>
    <xf numFmtId="0" fontId="3" fillId="34" borderId="10" xfId="0" applyFont="1" applyFill="1" applyBorder="1" applyAlignment="1">
      <alignment wrapText="1"/>
    </xf>
    <xf numFmtId="179" fontId="78" fillId="34" borderId="10" xfId="41" applyNumberFormat="1" applyFont="1" applyFill="1" applyBorder="1" applyAlignment="1">
      <alignment horizontal="center"/>
    </xf>
    <xf numFmtId="171" fontId="78" fillId="34" borderId="10" xfId="41" applyFont="1" applyFill="1" applyBorder="1" applyAlignment="1" quotePrefix="1">
      <alignment horizontal="center" wrapText="1"/>
    </xf>
    <xf numFmtId="179" fontId="20" fillId="34" borderId="10" xfId="41" applyNumberFormat="1" applyFont="1" applyFill="1" applyBorder="1" applyAlignment="1">
      <alignment/>
    </xf>
    <xf numFmtId="2" fontId="16" fillId="0" borderId="10" xfId="0" applyNumberFormat="1" applyFont="1" applyFill="1" applyBorder="1" applyAlignment="1">
      <alignment/>
    </xf>
    <xf numFmtId="181" fontId="78" fillId="34" borderId="10" xfId="41" applyNumberFormat="1" applyFont="1" applyFill="1" applyBorder="1" applyAlignment="1">
      <alignment horizontal="right"/>
    </xf>
    <xf numFmtId="183" fontId="78" fillId="0" borderId="0" xfId="0" applyNumberFormat="1" applyFont="1" applyAlignment="1">
      <alignment horizontal="center"/>
    </xf>
    <xf numFmtId="179" fontId="81" fillId="34" borderId="10" xfId="41" applyNumberFormat="1" applyFont="1" applyFill="1" applyBorder="1" applyAlignment="1">
      <alignment horizontal="center"/>
    </xf>
    <xf numFmtId="171" fontId="78" fillId="34" borderId="10" xfId="41" applyFont="1" applyFill="1" applyBorder="1" applyAlignment="1">
      <alignment horizontal="right"/>
    </xf>
    <xf numFmtId="171" fontId="78" fillId="34" borderId="10" xfId="0" applyNumberFormat="1" applyFont="1" applyFill="1" applyBorder="1" applyAlignment="1">
      <alignment horizontal="center"/>
    </xf>
    <xf numFmtId="179" fontId="15" fillId="0" borderId="10" xfId="41" applyNumberFormat="1" applyFont="1" applyBorder="1" applyAlignment="1">
      <alignment/>
    </xf>
    <xf numFmtId="0" fontId="15" fillId="0" borderId="10" xfId="0" applyFont="1" applyBorder="1" applyAlignment="1">
      <alignment/>
    </xf>
    <xf numFmtId="0" fontId="3" fillId="0" borderId="10" xfId="0" applyFont="1" applyFill="1" applyBorder="1" applyAlignment="1" quotePrefix="1">
      <alignment horizontal="center" vertical="center"/>
    </xf>
    <xf numFmtId="0" fontId="3" fillId="0" borderId="10" xfId="0" applyFont="1" applyFill="1" applyBorder="1" applyAlignment="1">
      <alignment vertical="center"/>
    </xf>
    <xf numFmtId="0" fontId="86" fillId="0" borderId="10" xfId="0" applyFont="1" applyFill="1" applyBorder="1" applyAlignment="1">
      <alignment/>
    </xf>
    <xf numFmtId="0" fontId="86" fillId="0" borderId="10" xfId="0" applyFont="1" applyFill="1" applyBorder="1" applyAlignment="1">
      <alignment vertical="center"/>
    </xf>
    <xf numFmtId="2" fontId="16" fillId="0" borderId="10" xfId="0" applyNumberFormat="1" applyFont="1" applyFill="1" applyBorder="1" applyAlignment="1">
      <alignment vertical="center"/>
    </xf>
    <xf numFmtId="171" fontId="78" fillId="34" borderId="10" xfId="0" applyNumberFormat="1" applyFont="1" applyFill="1" applyBorder="1" applyAlignment="1">
      <alignment horizontal="center" vertical="center" wrapText="1"/>
    </xf>
    <xf numFmtId="183" fontId="78" fillId="0" borderId="0" xfId="0" applyNumberFormat="1" applyFont="1" applyBorder="1" applyAlignment="1">
      <alignment horizontal="center"/>
    </xf>
    <xf numFmtId="0" fontId="77" fillId="0" borderId="10" xfId="0" applyFont="1" applyBorder="1" applyAlignment="1">
      <alignment horizontal="center" vertical="center" wrapText="1"/>
    </xf>
    <xf numFmtId="183" fontId="15" fillId="0" borderId="10" xfId="46" applyNumberFormat="1" applyFont="1" applyFill="1" applyBorder="1" applyAlignment="1">
      <alignment horizontal="center" vertical="center"/>
    </xf>
    <xf numFmtId="0" fontId="78" fillId="0" borderId="10" xfId="0" applyFont="1" applyBorder="1" applyAlignment="1">
      <alignment/>
    </xf>
    <xf numFmtId="0" fontId="78" fillId="0" borderId="10" xfId="0" applyFont="1" applyBorder="1" applyAlignment="1">
      <alignment/>
    </xf>
    <xf numFmtId="179" fontId="78" fillId="0" borderId="10" xfId="41" applyNumberFormat="1" applyFont="1" applyBorder="1" applyAlignment="1">
      <alignment/>
    </xf>
    <xf numFmtId="181" fontId="78" fillId="0" borderId="10" xfId="41" applyNumberFormat="1" applyFont="1" applyBorder="1" applyAlignment="1">
      <alignment/>
    </xf>
    <xf numFmtId="0" fontId="78" fillId="0" borderId="10" xfId="0" applyFont="1" applyBorder="1" applyAlignment="1">
      <alignment horizontal="center"/>
    </xf>
    <xf numFmtId="192" fontId="16" fillId="34" borderId="14" xfId="41" applyNumberFormat="1" applyFont="1" applyFill="1" applyBorder="1" applyAlignment="1">
      <alignment horizontal="center" vertical="center"/>
    </xf>
    <xf numFmtId="180" fontId="4" fillId="0" borderId="10" xfId="41" applyNumberFormat="1" applyFont="1" applyBorder="1" applyAlignment="1">
      <alignment horizontal="center" wrapText="1"/>
    </xf>
    <xf numFmtId="0" fontId="21" fillId="34" borderId="14" xfId="0" applyFont="1" applyFill="1" applyBorder="1" applyAlignment="1">
      <alignment vertical="center"/>
    </xf>
    <xf numFmtId="0" fontId="85" fillId="0" borderId="10" xfId="0" applyFont="1" applyBorder="1" applyAlignment="1">
      <alignment horizontal="center" wrapText="1"/>
    </xf>
    <xf numFmtId="180" fontId="5" fillId="0" borderId="10" xfId="41" applyNumberFormat="1" applyFont="1" applyBorder="1" applyAlignment="1">
      <alignment/>
    </xf>
    <xf numFmtId="0" fontId="75" fillId="0" borderId="10" xfId="0" applyFont="1" applyBorder="1" applyAlignment="1">
      <alignment vertical="center"/>
    </xf>
    <xf numFmtId="171" fontId="4" fillId="0" borderId="10" xfId="41" applyNumberFormat="1" applyFont="1" applyBorder="1" applyAlignment="1">
      <alignment vertical="center"/>
    </xf>
    <xf numFmtId="180" fontId="75" fillId="0" borderId="10" xfId="41" applyNumberFormat="1" applyFont="1" applyBorder="1" applyAlignment="1">
      <alignment vertical="center"/>
    </xf>
    <xf numFmtId="0" fontId="75" fillId="0" borderId="0" xfId="0" applyFont="1" applyAlignment="1">
      <alignment vertical="center"/>
    </xf>
    <xf numFmtId="180" fontId="5" fillId="0" borderId="10" xfId="41" applyNumberFormat="1" applyFont="1" applyBorder="1" applyAlignment="1">
      <alignment vertical="center"/>
    </xf>
    <xf numFmtId="0" fontId="5" fillId="0" borderId="0" xfId="0" applyFont="1" applyAlignment="1">
      <alignment vertical="center"/>
    </xf>
    <xf numFmtId="180" fontId="23" fillId="0" borderId="10" xfId="41" applyNumberFormat="1" applyFont="1" applyBorder="1" applyAlignment="1">
      <alignment horizontal="center" wrapText="1"/>
    </xf>
    <xf numFmtId="0" fontId="23" fillId="0" borderId="0" xfId="0" applyFont="1" applyAlignment="1">
      <alignment/>
    </xf>
    <xf numFmtId="181" fontId="4" fillId="0" borderId="10" xfId="41" applyNumberFormat="1" applyFont="1" applyBorder="1" applyAlignment="1" quotePrefix="1">
      <alignment horizontal="right" vertical="center"/>
    </xf>
    <xf numFmtId="179" fontId="6" fillId="7" borderId="10" xfId="46" applyNumberFormat="1" applyFont="1" applyFill="1" applyBorder="1" applyAlignment="1">
      <alignment horizontal="center" vertical="center"/>
    </xf>
    <xf numFmtId="179" fontId="6" fillId="7" borderId="10" xfId="46" applyNumberFormat="1" applyFont="1" applyFill="1" applyBorder="1" applyAlignment="1">
      <alignment horizontal="right" vertical="center"/>
    </xf>
    <xf numFmtId="183" fontId="6" fillId="7" borderId="10" xfId="46" applyNumberFormat="1" applyFont="1" applyFill="1" applyBorder="1" applyAlignment="1">
      <alignment horizontal="center" vertical="center"/>
    </xf>
    <xf numFmtId="179" fontId="9" fillId="7" borderId="0" xfId="46" applyNumberFormat="1" applyFont="1" applyFill="1" applyAlignment="1">
      <alignment/>
    </xf>
    <xf numFmtId="179" fontId="9" fillId="7" borderId="0" xfId="46" applyNumberFormat="1" applyFont="1" applyFill="1" applyAlignment="1">
      <alignment horizontal="center"/>
    </xf>
    <xf numFmtId="179" fontId="9" fillId="7" borderId="0" xfId="46" applyNumberFormat="1" applyFont="1" applyFill="1" applyAlignment="1">
      <alignment horizontal="right"/>
    </xf>
    <xf numFmtId="183" fontId="9" fillId="7" borderId="0" xfId="46" applyNumberFormat="1" applyFont="1" applyFill="1" applyAlignment="1">
      <alignment/>
    </xf>
    <xf numFmtId="179" fontId="9" fillId="7" borderId="0" xfId="46" applyNumberFormat="1" applyFont="1" applyFill="1" applyAlignment="1">
      <alignment/>
    </xf>
    <xf numFmtId="183" fontId="9" fillId="7" borderId="0" xfId="46" applyNumberFormat="1" applyFont="1" applyFill="1" applyAlignment="1">
      <alignment/>
    </xf>
    <xf numFmtId="183" fontId="9" fillId="7" borderId="0" xfId="46" applyNumberFormat="1" applyFont="1" applyFill="1" applyAlignment="1">
      <alignment horizontal="center"/>
    </xf>
    <xf numFmtId="185" fontId="6" fillId="7" borderId="10" xfId="46" applyNumberFormat="1" applyFont="1" applyFill="1" applyBorder="1" applyAlignment="1">
      <alignment horizontal="center" vertical="center"/>
    </xf>
    <xf numFmtId="0" fontId="0" fillId="7" borderId="0" xfId="0" applyFill="1" applyAlignment="1">
      <alignment/>
    </xf>
    <xf numFmtId="179" fontId="24" fillId="7" borderId="10" xfId="46" applyNumberFormat="1" applyFont="1" applyFill="1" applyBorder="1" applyAlignment="1">
      <alignment horizontal="center" vertical="center" wrapText="1"/>
    </xf>
    <xf numFmtId="179" fontId="24" fillId="7" borderId="10" xfId="46" applyNumberFormat="1" applyFont="1" applyFill="1" applyBorder="1" applyAlignment="1">
      <alignment horizontal="right" vertical="center" wrapText="1"/>
    </xf>
    <xf numFmtId="179" fontId="87" fillId="0" borderId="10" xfId="41" applyNumberFormat="1" applyFont="1" applyBorder="1" applyAlignment="1">
      <alignment horizontal="center" vertical="center" wrapText="1"/>
    </xf>
    <xf numFmtId="179" fontId="87" fillId="0" borderId="12" xfId="41" applyNumberFormat="1" applyFont="1" applyBorder="1" applyAlignment="1">
      <alignment horizontal="center" vertical="center" wrapText="1"/>
    </xf>
    <xf numFmtId="183" fontId="14" fillId="0" borderId="10" xfId="61" applyNumberFormat="1" applyFont="1" applyFill="1" applyBorder="1" applyAlignment="1">
      <alignment horizontal="center" vertical="center"/>
      <protection/>
    </xf>
    <xf numFmtId="183" fontId="14" fillId="0" borderId="10" xfId="61" applyNumberFormat="1" applyFont="1" applyFill="1" applyBorder="1" applyAlignment="1" quotePrefix="1">
      <alignment horizontal="center" vertical="center"/>
      <protection/>
    </xf>
    <xf numFmtId="183" fontId="14" fillId="7" borderId="10" xfId="46" applyNumberFormat="1" applyFont="1" applyFill="1" applyBorder="1" applyAlignment="1" quotePrefix="1">
      <alignment horizontal="center" vertical="center" wrapText="1"/>
    </xf>
    <xf numFmtId="183" fontId="14" fillId="7" borderId="10" xfId="46" applyNumberFormat="1" applyFont="1" applyFill="1" applyBorder="1" applyAlignment="1" quotePrefix="1">
      <alignment horizontal="right" vertical="center" wrapText="1"/>
    </xf>
    <xf numFmtId="179" fontId="14" fillId="7" borderId="10" xfId="46" applyNumberFormat="1" applyFont="1" applyFill="1" applyBorder="1" applyAlignment="1" quotePrefix="1">
      <alignment horizontal="right" vertical="center" wrapText="1"/>
    </xf>
    <xf numFmtId="183" fontId="14" fillId="7" borderId="10" xfId="46" applyNumberFormat="1" applyFont="1" applyFill="1" applyBorder="1" applyAlignment="1">
      <alignment horizontal="center" vertical="center" wrapText="1"/>
    </xf>
    <xf numFmtId="183" fontId="88" fillId="0" borderId="13" xfId="41" applyNumberFormat="1" applyFont="1" applyBorder="1" applyAlignment="1" quotePrefix="1">
      <alignment horizontal="center" vertical="center" wrapText="1"/>
    </xf>
    <xf numFmtId="183" fontId="88" fillId="34" borderId="13" xfId="41" applyNumberFormat="1" applyFont="1" applyFill="1" applyBorder="1" applyAlignment="1" quotePrefix="1">
      <alignment horizontal="center" vertical="center" wrapText="1"/>
    </xf>
    <xf numFmtId="183" fontId="24" fillId="0" borderId="10" xfId="61" applyNumberFormat="1" applyFont="1" applyFill="1" applyBorder="1" applyAlignment="1">
      <alignment horizontal="center" vertical="center"/>
      <protection/>
    </xf>
    <xf numFmtId="171" fontId="24" fillId="7" borderId="10" xfId="46" applyNumberFormat="1" applyFont="1" applyFill="1" applyBorder="1" applyAlignment="1" quotePrefix="1">
      <alignment horizontal="center" vertical="center" wrapText="1"/>
    </xf>
    <xf numFmtId="181" fontId="24" fillId="7" borderId="10" xfId="46" applyNumberFormat="1" applyFont="1" applyFill="1" applyBorder="1" applyAlignment="1" quotePrefix="1">
      <alignment horizontal="center" vertical="center" wrapText="1"/>
    </xf>
    <xf numFmtId="171" fontId="87" fillId="34" borderId="14" xfId="41" applyFont="1" applyFill="1" applyBorder="1" applyAlignment="1" quotePrefix="1">
      <alignment horizontal="center" vertical="center" wrapText="1"/>
    </xf>
    <xf numFmtId="0" fontId="24" fillId="0" borderId="10" xfId="61" applyFont="1" applyFill="1" applyBorder="1" applyAlignment="1">
      <alignment horizontal="center" vertical="center" wrapText="1"/>
      <protection/>
    </xf>
    <xf numFmtId="0" fontId="24" fillId="0" borderId="10" xfId="61" applyFont="1" applyFill="1" applyBorder="1" applyAlignment="1">
      <alignment vertical="center" wrapText="1"/>
      <protection/>
    </xf>
    <xf numFmtId="0" fontId="24" fillId="33" borderId="10" xfId="61" applyFont="1" applyFill="1" applyBorder="1" applyAlignment="1">
      <alignment horizontal="center" vertical="center"/>
      <protection/>
    </xf>
    <xf numFmtId="0" fontId="24" fillId="33" borderId="10" xfId="61" applyFont="1" applyFill="1" applyBorder="1" applyAlignment="1">
      <alignment vertical="center" wrapText="1"/>
      <protection/>
    </xf>
    <xf numFmtId="179" fontId="24" fillId="7" borderId="10" xfId="46" applyNumberFormat="1" applyFont="1" applyFill="1" applyBorder="1" applyAlignment="1">
      <alignment horizontal="center" vertical="center"/>
    </xf>
    <xf numFmtId="183" fontId="24" fillId="7" borderId="10" xfId="46" applyNumberFormat="1" applyFont="1" applyFill="1" applyBorder="1" applyAlignment="1">
      <alignment horizontal="center" vertical="center"/>
    </xf>
    <xf numFmtId="171" fontId="87" fillId="0" borderId="14" xfId="41" applyFont="1" applyBorder="1" applyAlignment="1" quotePrefix="1">
      <alignment horizontal="center" vertical="center" wrapText="1"/>
    </xf>
    <xf numFmtId="0" fontId="14" fillId="0" borderId="10" xfId="61" applyFont="1" applyFill="1" applyBorder="1" applyAlignment="1">
      <alignment horizontal="center" vertical="center"/>
      <protection/>
    </xf>
    <xf numFmtId="0" fontId="14" fillId="0" borderId="10" xfId="61" applyFont="1" applyFill="1" applyBorder="1" applyAlignment="1">
      <alignment vertical="center"/>
      <protection/>
    </xf>
    <xf numFmtId="179" fontId="14" fillId="7" borderId="10" xfId="46" applyNumberFormat="1" applyFont="1" applyFill="1" applyBorder="1" applyAlignment="1">
      <alignment horizontal="center" vertical="center"/>
    </xf>
    <xf numFmtId="179" fontId="14" fillId="7" borderId="10" xfId="46" applyNumberFormat="1" applyFont="1" applyFill="1" applyBorder="1" applyAlignment="1">
      <alignment horizontal="right" vertical="center"/>
    </xf>
    <xf numFmtId="179" fontId="24" fillId="7" borderId="10" xfId="46" applyNumberFormat="1" applyFont="1" applyFill="1" applyBorder="1" applyAlignment="1">
      <alignment horizontal="right" vertical="center"/>
    </xf>
    <xf numFmtId="183" fontId="14" fillId="7" borderId="10" xfId="46" applyNumberFormat="1" applyFont="1" applyFill="1" applyBorder="1" applyAlignment="1">
      <alignment horizontal="center" vertical="center"/>
    </xf>
    <xf numFmtId="171" fontId="87" fillId="0" borderId="15" xfId="41" applyFont="1" applyBorder="1" applyAlignment="1" quotePrefix="1">
      <alignment horizontal="center" vertical="center" wrapText="1"/>
    </xf>
    <xf numFmtId="171" fontId="88" fillId="0" borderId="10" xfId="41" applyFont="1" applyBorder="1" applyAlignment="1" quotePrefix="1">
      <alignment horizontal="center" vertical="center" wrapText="1"/>
    </xf>
    <xf numFmtId="171" fontId="88" fillId="0" borderId="10" xfId="41" applyNumberFormat="1" applyFont="1" applyBorder="1" applyAlignment="1" quotePrefix="1">
      <alignment horizontal="center" vertical="center" wrapText="1"/>
    </xf>
    <xf numFmtId="193" fontId="3" fillId="0" borderId="10" xfId="44" applyNumberFormat="1" applyFont="1" applyBorder="1" applyAlignment="1">
      <alignment horizontal="right" vertical="center"/>
    </xf>
    <xf numFmtId="185" fontId="3" fillId="0" borderId="10" xfId="44" applyNumberFormat="1" applyFont="1" applyBorder="1" applyAlignment="1">
      <alignment horizontal="center" vertical="center"/>
    </xf>
    <xf numFmtId="179" fontId="88" fillId="34" borderId="10" xfId="41" applyNumberFormat="1" applyFont="1" applyFill="1" applyBorder="1" applyAlignment="1">
      <alignment horizontal="center" vertical="center"/>
    </xf>
    <xf numFmtId="181" fontId="3" fillId="34" borderId="10" xfId="41" applyNumberFormat="1" applyFont="1" applyFill="1" applyBorder="1" applyAlignment="1">
      <alignment horizontal="center" vertical="center"/>
    </xf>
    <xf numFmtId="0" fontId="24" fillId="33" borderId="10" xfId="61" applyFont="1" applyFill="1" applyBorder="1" applyAlignment="1">
      <alignment vertical="center"/>
      <protection/>
    </xf>
    <xf numFmtId="0" fontId="24" fillId="0" borderId="10" xfId="61" applyFont="1" applyFill="1" applyBorder="1" applyAlignment="1">
      <alignment horizontal="center" vertical="center"/>
      <protection/>
    </xf>
    <xf numFmtId="0" fontId="24" fillId="0" borderId="10" xfId="61" applyFont="1" applyFill="1" applyBorder="1" applyAlignment="1">
      <alignment vertical="center"/>
      <protection/>
    </xf>
    <xf numFmtId="181" fontId="24" fillId="7" borderId="10" xfId="46" applyNumberFormat="1" applyFont="1" applyFill="1" applyBorder="1" applyAlignment="1">
      <alignment horizontal="center" vertical="center"/>
    </xf>
    <xf numFmtId="185" fontId="14" fillId="7" borderId="10" xfId="46" applyNumberFormat="1" applyFont="1" applyFill="1" applyBorder="1" applyAlignment="1">
      <alignment horizontal="center" vertical="center"/>
    </xf>
    <xf numFmtId="179" fontId="87" fillId="34" borderId="14" xfId="41" applyNumberFormat="1" applyFont="1" applyFill="1" applyBorder="1" applyAlignment="1">
      <alignment horizontal="center" vertical="center"/>
    </xf>
    <xf numFmtId="171" fontId="87" fillId="34" borderId="14" xfId="41" applyFont="1" applyFill="1" applyBorder="1" applyAlignment="1">
      <alignment horizontal="center" vertical="center"/>
    </xf>
    <xf numFmtId="179" fontId="87" fillId="34" borderId="10" xfId="41" applyNumberFormat="1" applyFont="1" applyFill="1" applyBorder="1" applyAlignment="1">
      <alignment horizontal="center" vertical="center"/>
    </xf>
    <xf numFmtId="180" fontId="88" fillId="0" borderId="10" xfId="41" applyNumberFormat="1" applyFont="1" applyBorder="1" applyAlignment="1" quotePrefix="1">
      <alignment horizontal="center" vertical="center" wrapText="1"/>
    </xf>
    <xf numFmtId="179" fontId="3" fillId="35" borderId="10" xfId="43" applyNumberFormat="1" applyFont="1" applyFill="1" applyBorder="1" applyAlignment="1">
      <alignment horizontal="center" vertical="center"/>
    </xf>
    <xf numFmtId="183" fontId="24" fillId="7" borderId="10" xfId="46" applyNumberFormat="1" applyFont="1" applyFill="1" applyBorder="1" applyAlignment="1" quotePrefix="1">
      <alignment horizontal="center" vertical="center" wrapText="1"/>
    </xf>
    <xf numFmtId="183" fontId="24" fillId="7" borderId="10" xfId="46" applyNumberFormat="1" applyFont="1" applyFill="1" applyBorder="1" applyAlignment="1" quotePrefix="1">
      <alignment horizontal="right" vertical="center" wrapText="1"/>
    </xf>
    <xf numFmtId="179" fontId="24" fillId="7" borderId="10" xfId="46" applyNumberFormat="1" applyFont="1" applyFill="1" applyBorder="1" applyAlignment="1" quotePrefix="1">
      <alignment horizontal="right" vertical="center" wrapText="1"/>
    </xf>
    <xf numFmtId="179" fontId="87" fillId="34" borderId="15" xfId="41" applyNumberFormat="1" applyFont="1" applyFill="1" applyBorder="1" applyAlignment="1">
      <alignment horizontal="center" vertical="center"/>
    </xf>
    <xf numFmtId="179" fontId="3" fillId="35" borderId="15" xfId="43" applyNumberFormat="1" applyFont="1" applyFill="1" applyBorder="1" applyAlignment="1">
      <alignment horizontal="center" vertical="center"/>
    </xf>
    <xf numFmtId="193" fontId="3" fillId="0" borderId="15" xfId="44" applyNumberFormat="1" applyFont="1" applyBorder="1" applyAlignment="1">
      <alignment horizontal="right" vertical="center"/>
    </xf>
    <xf numFmtId="179" fontId="88" fillId="34" borderId="15" xfId="41" applyNumberFormat="1" applyFont="1" applyFill="1" applyBorder="1" applyAlignment="1">
      <alignment horizontal="center" vertical="center"/>
    </xf>
    <xf numFmtId="171" fontId="88" fillId="34" borderId="10" xfId="41" applyFont="1" applyFill="1" applyBorder="1" applyAlignment="1" quotePrefix="1">
      <alignment horizontal="center" vertical="center" wrapText="1"/>
    </xf>
    <xf numFmtId="181" fontId="88" fillId="34" borderId="10" xfId="41" applyNumberFormat="1" applyFont="1" applyFill="1" applyBorder="1" applyAlignment="1">
      <alignment horizontal="right" vertical="center"/>
    </xf>
    <xf numFmtId="179" fontId="89" fillId="34" borderId="10" xfId="41" applyNumberFormat="1" applyFont="1" applyFill="1" applyBorder="1" applyAlignment="1">
      <alignment horizontal="center" vertical="center"/>
    </xf>
    <xf numFmtId="171" fontId="88" fillId="34" borderId="10" xfId="41" applyFont="1" applyFill="1" applyBorder="1" applyAlignment="1">
      <alignment horizontal="right" vertical="center"/>
    </xf>
    <xf numFmtId="194" fontId="87" fillId="34" borderId="14" xfId="41" applyNumberFormat="1" applyFont="1" applyFill="1" applyBorder="1" applyAlignment="1">
      <alignment horizontal="center" vertical="center"/>
    </xf>
    <xf numFmtId="179" fontId="88" fillId="34" borderId="14" xfId="41" applyNumberFormat="1" applyFont="1" applyFill="1" applyBorder="1" applyAlignment="1">
      <alignment horizontal="center" vertical="center"/>
    </xf>
    <xf numFmtId="179" fontId="90" fillId="34" borderId="14" xfId="41" applyNumberFormat="1" applyFont="1" applyFill="1" applyBorder="1" applyAlignment="1">
      <alignment horizontal="center" vertical="center"/>
    </xf>
    <xf numFmtId="0" fontId="24" fillId="0" borderId="10" xfId="61" applyFont="1" applyFill="1" applyBorder="1" applyAlignment="1">
      <alignment horizontal="left" vertical="center"/>
      <protection/>
    </xf>
    <xf numFmtId="0" fontId="14" fillId="0" borderId="10" xfId="61" applyFont="1" applyFill="1" applyBorder="1" applyAlignment="1">
      <alignment horizontal="left" vertical="center"/>
      <protection/>
    </xf>
    <xf numFmtId="171" fontId="88" fillId="34" borderId="14" xfId="41" applyFont="1" applyFill="1" applyBorder="1" applyAlignment="1">
      <alignment horizontal="center" vertical="center"/>
    </xf>
    <xf numFmtId="183" fontId="24" fillId="0" borderId="10" xfId="45" applyNumberFormat="1" applyFont="1" applyFill="1" applyBorder="1" applyAlignment="1">
      <alignment vertical="center"/>
    </xf>
    <xf numFmtId="179" fontId="2" fillId="34" borderId="14" xfId="41" applyNumberFormat="1" applyFont="1" applyFill="1" applyBorder="1" applyAlignment="1">
      <alignment horizontal="center" vertical="center"/>
    </xf>
    <xf numFmtId="183" fontId="14" fillId="0" borderId="10" xfId="45" applyNumberFormat="1" applyFont="1" applyFill="1" applyBorder="1" applyAlignment="1">
      <alignment vertical="center"/>
    </xf>
    <xf numFmtId="186" fontId="14" fillId="7" borderId="10" xfId="46" applyNumberFormat="1" applyFont="1" applyFill="1" applyBorder="1" applyAlignment="1">
      <alignment horizontal="center" vertical="center"/>
    </xf>
    <xf numFmtId="179" fontId="3" fillId="0" borderId="10" xfId="46" applyNumberFormat="1" applyFont="1" applyFill="1" applyBorder="1" applyAlignment="1">
      <alignment horizontal="center" vertical="center"/>
    </xf>
    <xf numFmtId="185" fontId="3" fillId="0" borderId="10" xfId="46" applyNumberFormat="1" applyFont="1" applyFill="1" applyBorder="1" applyAlignment="1">
      <alignment horizontal="center" vertical="center"/>
    </xf>
    <xf numFmtId="179" fontId="3" fillId="34" borderId="14" xfId="41" applyNumberFormat="1" applyFont="1" applyFill="1" applyBorder="1" applyAlignment="1">
      <alignment horizontal="center" vertical="center"/>
    </xf>
    <xf numFmtId="179" fontId="3" fillId="0" borderId="10" xfId="46" applyNumberFormat="1" applyFont="1" applyFill="1" applyBorder="1" applyAlignment="1">
      <alignment horizontal="right" vertical="center"/>
    </xf>
    <xf numFmtId="181" fontId="3" fillId="0" borderId="10" xfId="41" applyNumberFormat="1" applyFont="1" applyFill="1" applyBorder="1" applyAlignment="1">
      <alignment horizontal="center" vertical="center"/>
    </xf>
    <xf numFmtId="183" fontId="14" fillId="0" borderId="10" xfId="44" applyNumberFormat="1" applyFont="1" applyFill="1" applyBorder="1" applyAlignment="1">
      <alignment horizontal="left" vertical="center"/>
    </xf>
    <xf numFmtId="179" fontId="3" fillId="0" borderId="15" xfId="46" applyNumberFormat="1" applyFont="1" applyFill="1" applyBorder="1" applyAlignment="1">
      <alignment horizontal="center" vertical="center"/>
    </xf>
    <xf numFmtId="185" fontId="3" fillId="0" borderId="15" xfId="46" applyNumberFormat="1" applyFont="1" applyFill="1" applyBorder="1" applyAlignment="1">
      <alignment horizontal="center" vertical="center"/>
    </xf>
    <xf numFmtId="179" fontId="3" fillId="0" borderId="15" xfId="46" applyNumberFormat="1" applyFont="1" applyFill="1" applyBorder="1" applyAlignment="1">
      <alignment horizontal="right" vertical="center"/>
    </xf>
    <xf numFmtId="183" fontId="24" fillId="0" borderId="10" xfId="44" applyNumberFormat="1" applyFont="1" applyFill="1" applyBorder="1" applyAlignment="1">
      <alignment horizontal="left" vertical="center"/>
    </xf>
    <xf numFmtId="185" fontId="24" fillId="7" borderId="10" xfId="46" applyNumberFormat="1" applyFont="1" applyFill="1" applyBorder="1" applyAlignment="1">
      <alignment horizontal="center" vertical="center"/>
    </xf>
    <xf numFmtId="171" fontId="2" fillId="34" borderId="14" xfId="41" applyNumberFormat="1" applyFont="1" applyFill="1" applyBorder="1" applyAlignment="1">
      <alignment horizontal="center" vertical="center"/>
    </xf>
    <xf numFmtId="4" fontId="25" fillId="34" borderId="14" xfId="41" applyNumberFormat="1" applyFont="1" applyFill="1" applyBorder="1" applyAlignment="1">
      <alignment horizontal="center" vertical="center"/>
    </xf>
    <xf numFmtId="171" fontId="3" fillId="34" borderId="14" xfId="41" applyNumberFormat="1" applyFont="1" applyFill="1" applyBorder="1" applyAlignment="1">
      <alignment horizontal="center" vertical="center"/>
    </xf>
    <xf numFmtId="3" fontId="25" fillId="34" borderId="14" xfId="41" applyNumberFormat="1" applyFont="1" applyFill="1" applyBorder="1" applyAlignment="1">
      <alignment horizontal="center" vertical="center"/>
    </xf>
    <xf numFmtId="3" fontId="25" fillId="34" borderId="16" xfId="41" applyNumberFormat="1" applyFont="1" applyFill="1" applyBorder="1" applyAlignment="1">
      <alignment horizontal="center" vertical="center"/>
    </xf>
    <xf numFmtId="4" fontId="25" fillId="34" borderId="16" xfId="41" applyNumberFormat="1" applyFont="1" applyFill="1" applyBorder="1" applyAlignment="1">
      <alignment horizontal="center" vertical="center"/>
    </xf>
    <xf numFmtId="185" fontId="24" fillId="7" borderId="10" xfId="46" applyNumberFormat="1" applyFont="1" applyFill="1" applyBorder="1" applyAlignment="1">
      <alignment horizontal="right" vertical="center"/>
    </xf>
    <xf numFmtId="3" fontId="25" fillId="34" borderId="17" xfId="41" applyNumberFormat="1" applyFont="1" applyFill="1" applyBorder="1" applyAlignment="1">
      <alignment horizontal="center" vertical="center"/>
    </xf>
    <xf numFmtId="4" fontId="25" fillId="34" borderId="17" xfId="41" applyNumberFormat="1" applyFont="1" applyFill="1" applyBorder="1" applyAlignment="1">
      <alignment horizontal="center" vertical="center"/>
    </xf>
    <xf numFmtId="185" fontId="3" fillId="34" borderId="14" xfId="41" applyNumberFormat="1" applyFont="1" applyFill="1" applyBorder="1" applyAlignment="1">
      <alignment horizontal="center" vertical="center"/>
    </xf>
    <xf numFmtId="0" fontId="14" fillId="0" borderId="10" xfId="61" applyFont="1" applyFill="1" applyBorder="1" applyAlignment="1">
      <alignment vertical="center" wrapText="1"/>
      <protection/>
    </xf>
    <xf numFmtId="192" fontId="3" fillId="34" borderId="14" xfId="41" applyNumberFormat="1" applyFont="1" applyFill="1" applyBorder="1" applyAlignment="1">
      <alignment horizontal="center" vertical="center"/>
    </xf>
    <xf numFmtId="179" fontId="2" fillId="34" borderId="10" xfId="41" applyNumberFormat="1" applyFont="1" applyFill="1" applyBorder="1" applyAlignment="1">
      <alignment horizontal="center" vertical="center"/>
    </xf>
    <xf numFmtId="179" fontId="3" fillId="34" borderId="10" xfId="41" applyNumberFormat="1" applyFont="1" applyFill="1" applyBorder="1" applyAlignment="1">
      <alignment horizontal="center" vertical="center"/>
    </xf>
    <xf numFmtId="4" fontId="3" fillId="0" borderId="10" xfId="41" applyNumberFormat="1" applyFont="1" applyBorder="1" applyAlignment="1">
      <alignment horizontal="right" vertical="center"/>
    </xf>
    <xf numFmtId="191" fontId="3" fillId="0" borderId="10" xfId="43" applyNumberFormat="1" applyFont="1" applyBorder="1" applyAlignment="1">
      <alignment horizontal="right" vertical="center"/>
    </xf>
    <xf numFmtId="190" fontId="3" fillId="0" borderId="10" xfId="43" applyNumberFormat="1" applyFont="1" applyBorder="1" applyAlignment="1">
      <alignment horizontal="right" vertical="center"/>
    </xf>
    <xf numFmtId="183" fontId="3" fillId="34" borderId="10" xfId="41" applyNumberFormat="1" applyFont="1" applyFill="1" applyBorder="1" applyAlignment="1">
      <alignment horizontal="center" vertical="center"/>
    </xf>
    <xf numFmtId="171" fontId="24" fillId="7" borderId="10" xfId="46" applyNumberFormat="1" applyFont="1" applyFill="1" applyBorder="1" applyAlignment="1">
      <alignment horizontal="center" vertical="center"/>
    </xf>
    <xf numFmtId="0" fontId="26" fillId="0" borderId="10" xfId="61" applyFont="1" applyFill="1" applyBorder="1" applyAlignment="1">
      <alignment horizontal="center" vertical="center"/>
      <protection/>
    </xf>
    <xf numFmtId="179" fontId="12" fillId="7" borderId="10" xfId="46" applyNumberFormat="1" applyFont="1" applyFill="1" applyBorder="1" applyAlignment="1">
      <alignment horizontal="center" vertical="center"/>
    </xf>
    <xf numFmtId="0" fontId="12" fillId="7" borderId="10" xfId="61" applyFont="1" applyFill="1" applyBorder="1" applyAlignment="1">
      <alignment horizontal="right" vertical="center" wrapText="1"/>
      <protection/>
    </xf>
    <xf numFmtId="0" fontId="12" fillId="7" borderId="10" xfId="61" applyFont="1" applyFill="1" applyBorder="1" applyAlignment="1">
      <alignment horizontal="center" vertical="center" wrapText="1"/>
      <protection/>
    </xf>
    <xf numFmtId="186" fontId="12" fillId="7" borderId="10" xfId="46" applyNumberFormat="1" applyFont="1" applyFill="1" applyBorder="1" applyAlignment="1">
      <alignment horizontal="center" vertical="center"/>
    </xf>
    <xf numFmtId="179" fontId="12" fillId="7" borderId="10" xfId="46" applyNumberFormat="1" applyFont="1" applyFill="1" applyBorder="1" applyAlignment="1">
      <alignment horizontal="right" vertical="center"/>
    </xf>
    <xf numFmtId="183" fontId="12" fillId="7" borderId="10" xfId="46" applyNumberFormat="1" applyFont="1" applyFill="1" applyBorder="1" applyAlignment="1">
      <alignment horizontal="center" vertical="center"/>
    </xf>
    <xf numFmtId="171" fontId="2" fillId="34" borderId="10" xfId="41" applyFont="1" applyFill="1" applyBorder="1" applyAlignment="1">
      <alignment horizontal="center" vertical="center"/>
    </xf>
    <xf numFmtId="179" fontId="22" fillId="34" borderId="14" xfId="41" applyNumberFormat="1" applyFont="1" applyFill="1" applyBorder="1" applyAlignment="1">
      <alignment horizontal="center" vertical="center"/>
    </xf>
    <xf numFmtId="0" fontId="3" fillId="0" borderId="10" xfId="61" applyFont="1" applyFill="1" applyBorder="1" applyAlignment="1">
      <alignment horizontal="right" vertical="center" wrapText="1"/>
      <protection/>
    </xf>
    <xf numFmtId="0" fontId="3" fillId="0" borderId="10" xfId="61" applyFont="1" applyFill="1" applyBorder="1" applyAlignment="1">
      <alignment horizontal="center" vertical="center" wrapText="1"/>
      <protection/>
    </xf>
    <xf numFmtId="186" fontId="3" fillId="0" borderId="10" xfId="46" applyNumberFormat="1" applyFont="1" applyFill="1" applyBorder="1" applyAlignment="1">
      <alignment horizontal="center" vertical="center"/>
    </xf>
    <xf numFmtId="179" fontId="22" fillId="34" borderId="17" xfId="41" applyNumberFormat="1" applyFont="1" applyFill="1" applyBorder="1" applyAlignment="1">
      <alignment horizontal="center" vertical="center"/>
    </xf>
    <xf numFmtId="179" fontId="3" fillId="0" borderId="18" xfId="46" applyNumberFormat="1" applyFont="1" applyFill="1" applyBorder="1" applyAlignment="1">
      <alignment horizontal="center" vertical="center"/>
    </xf>
    <xf numFmtId="0" fontId="3" fillId="0" borderId="18" xfId="61" applyFont="1" applyFill="1" applyBorder="1" applyAlignment="1">
      <alignment horizontal="right" vertical="center" wrapText="1"/>
      <protection/>
    </xf>
    <xf numFmtId="186" fontId="3" fillId="0" borderId="18" xfId="46" applyNumberFormat="1" applyFont="1" applyFill="1" applyBorder="1" applyAlignment="1">
      <alignment horizontal="center" vertical="center"/>
    </xf>
    <xf numFmtId="179" fontId="3" fillId="0" borderId="18" xfId="46" applyNumberFormat="1" applyFont="1" applyFill="1" applyBorder="1" applyAlignment="1">
      <alignment horizontal="right" vertical="center"/>
    </xf>
    <xf numFmtId="179" fontId="2" fillId="34" borderId="17" xfId="41" applyNumberFormat="1" applyFont="1" applyFill="1" applyBorder="1" applyAlignment="1">
      <alignment horizontal="center" vertical="center"/>
    </xf>
    <xf numFmtId="179" fontId="22" fillId="34" borderId="10" xfId="41" applyNumberFormat="1" applyFont="1" applyFill="1" applyBorder="1" applyAlignment="1">
      <alignment horizontal="center" vertical="center"/>
    </xf>
    <xf numFmtId="0" fontId="12" fillId="0" borderId="18" xfId="61" applyFont="1" applyFill="1" applyBorder="1" applyAlignment="1">
      <alignment horizontal="left" vertical="center" wrapText="1"/>
      <protection/>
    </xf>
    <xf numFmtId="0" fontId="12" fillId="0" borderId="10" xfId="61" applyFont="1" applyFill="1" applyBorder="1" applyAlignment="1">
      <alignment vertical="center"/>
      <protection/>
    </xf>
    <xf numFmtId="185" fontId="12" fillId="7" borderId="10" xfId="46" applyNumberFormat="1" applyFont="1" applyFill="1" applyBorder="1" applyAlignment="1">
      <alignment horizontal="center" vertical="center"/>
    </xf>
    <xf numFmtId="1" fontId="14" fillId="0" borderId="10" xfId="46" applyNumberFormat="1" applyFont="1" applyFill="1" applyBorder="1" applyAlignment="1" applyProtection="1">
      <alignment horizontal="center" vertical="center" wrapText="1"/>
      <protection/>
    </xf>
    <xf numFmtId="179" fontId="3" fillId="0" borderId="10" xfId="41" applyNumberFormat="1" applyFont="1" applyBorder="1" applyAlignment="1">
      <alignment/>
    </xf>
    <xf numFmtId="0" fontId="28" fillId="0" borderId="10" xfId="61" applyFont="1" applyFill="1" applyBorder="1" applyAlignment="1">
      <alignment horizontal="center" vertical="center"/>
      <protection/>
    </xf>
    <xf numFmtId="179" fontId="14" fillId="7" borderId="10" xfId="46" applyNumberFormat="1" applyFont="1" applyFill="1" applyBorder="1" applyAlignment="1">
      <alignment horizontal="right"/>
    </xf>
    <xf numFmtId="0" fontId="27" fillId="0" borderId="10" xfId="61" applyFont="1" applyFill="1" applyBorder="1" applyAlignment="1">
      <alignment horizontal="center" vertical="center"/>
      <protection/>
    </xf>
    <xf numFmtId="0" fontId="12" fillId="0" borderId="10" xfId="61" applyFont="1" applyFill="1" applyBorder="1" applyAlignment="1">
      <alignment vertical="center" wrapText="1"/>
      <protection/>
    </xf>
    <xf numFmtId="179" fontId="12" fillId="7" borderId="10" xfId="46" applyNumberFormat="1" applyFont="1" applyFill="1" applyBorder="1" applyAlignment="1">
      <alignment horizontal="right"/>
    </xf>
    <xf numFmtId="179" fontId="3" fillId="0" borderId="18" xfId="41" applyNumberFormat="1" applyFont="1" applyBorder="1" applyAlignment="1">
      <alignment/>
    </xf>
    <xf numFmtId="185" fontId="3" fillId="0" borderId="18" xfId="46" applyNumberFormat="1" applyFont="1" applyFill="1" applyBorder="1" applyAlignment="1">
      <alignment horizontal="center" vertical="center"/>
    </xf>
    <xf numFmtId="179" fontId="2" fillId="0" borderId="10" xfId="46" applyNumberFormat="1" applyFont="1" applyFill="1" applyBorder="1" applyAlignment="1">
      <alignment horizontal="center" vertical="center"/>
    </xf>
    <xf numFmtId="171" fontId="87" fillId="0" borderId="10" xfId="41" applyFont="1" applyBorder="1" applyAlignment="1" quotePrefix="1">
      <alignment horizontal="center" vertical="center" wrapText="1"/>
    </xf>
    <xf numFmtId="181" fontId="87" fillId="0" borderId="10" xfId="41" applyNumberFormat="1" applyFont="1" applyBorder="1" applyAlignment="1" quotePrefix="1">
      <alignment horizontal="center" vertical="center" wrapText="1"/>
    </xf>
    <xf numFmtId="179" fontId="3" fillId="0" borderId="10" xfId="41" applyNumberFormat="1" applyFont="1" applyFill="1" applyBorder="1" applyAlignment="1">
      <alignment/>
    </xf>
    <xf numFmtId="2" fontId="3" fillId="0" borderId="10" xfId="0" applyNumberFormat="1" applyFont="1" applyFill="1" applyBorder="1" applyAlignment="1">
      <alignment/>
    </xf>
    <xf numFmtId="179" fontId="3" fillId="34" borderId="10" xfId="41" applyNumberFormat="1" applyFont="1" applyFill="1" applyBorder="1" applyAlignment="1">
      <alignment/>
    </xf>
    <xf numFmtId="2" fontId="3" fillId="34" borderId="10" xfId="0" applyNumberFormat="1" applyFont="1" applyFill="1" applyBorder="1" applyAlignment="1">
      <alignment/>
    </xf>
    <xf numFmtId="0" fontId="29" fillId="0" borderId="10" xfId="61" applyFont="1" applyFill="1" applyBorder="1" applyAlignment="1">
      <alignment horizontal="center" vertical="center"/>
      <protection/>
    </xf>
    <xf numFmtId="171" fontId="87" fillId="34" borderId="10" xfId="41" applyFont="1" applyFill="1" applyBorder="1" applyAlignment="1" quotePrefix="1">
      <alignment horizontal="center" vertical="center" wrapText="1"/>
    </xf>
    <xf numFmtId="179" fontId="88" fillId="0" borderId="10" xfId="41" applyNumberFormat="1" applyFont="1" applyFill="1" applyBorder="1" applyAlignment="1">
      <alignment/>
    </xf>
    <xf numFmtId="183" fontId="2" fillId="0" borderId="10" xfId="46" applyNumberFormat="1" applyFont="1" applyFill="1" applyBorder="1" applyAlignment="1">
      <alignment horizontal="center" vertical="center"/>
    </xf>
    <xf numFmtId="179" fontId="88" fillId="34" borderId="10" xfId="41" applyNumberFormat="1" applyFont="1" applyFill="1" applyBorder="1" applyAlignment="1">
      <alignment horizontal="center"/>
    </xf>
    <xf numFmtId="171" fontId="88" fillId="34" borderId="10" xfId="41" applyFont="1" applyFill="1" applyBorder="1" applyAlignment="1" quotePrefix="1">
      <alignment horizontal="center" wrapText="1"/>
    </xf>
    <xf numFmtId="179" fontId="3" fillId="34" borderId="10" xfId="41" applyNumberFormat="1" applyFont="1" applyFill="1" applyBorder="1" applyAlignment="1">
      <alignment/>
    </xf>
    <xf numFmtId="2" fontId="3" fillId="0" borderId="10" xfId="0" applyNumberFormat="1" applyFont="1" applyFill="1" applyBorder="1" applyAlignment="1">
      <alignment/>
    </xf>
    <xf numFmtId="181" fontId="88" fillId="34" borderId="10" xfId="41" applyNumberFormat="1" applyFont="1" applyFill="1" applyBorder="1" applyAlignment="1">
      <alignment horizontal="right"/>
    </xf>
    <xf numFmtId="179" fontId="89" fillId="34" borderId="10" xfId="41" applyNumberFormat="1" applyFont="1" applyFill="1" applyBorder="1" applyAlignment="1">
      <alignment horizontal="center"/>
    </xf>
    <xf numFmtId="171" fontId="88" fillId="34" borderId="10" xfId="41" applyFont="1" applyFill="1" applyBorder="1" applyAlignment="1">
      <alignment horizontal="right"/>
    </xf>
    <xf numFmtId="1" fontId="24" fillId="0" borderId="10" xfId="46" applyNumberFormat="1" applyFont="1" applyFill="1" applyBorder="1" applyAlignment="1" applyProtection="1">
      <alignment horizontal="center" vertical="center" wrapText="1"/>
      <protection/>
    </xf>
    <xf numFmtId="49" fontId="24" fillId="0" borderId="10" xfId="61" applyNumberFormat="1" applyFont="1" applyFill="1" applyBorder="1" applyAlignment="1">
      <alignment vertical="center" wrapText="1"/>
      <protection/>
    </xf>
    <xf numFmtId="179" fontId="2" fillId="0" borderId="10" xfId="41" applyNumberFormat="1" applyFont="1" applyBorder="1" applyAlignment="1">
      <alignment/>
    </xf>
    <xf numFmtId="1" fontId="24" fillId="0" borderId="10" xfId="46" applyNumberFormat="1" applyFont="1" applyFill="1" applyBorder="1" applyAlignment="1" applyProtection="1" quotePrefix="1">
      <alignment horizontal="center" vertical="center" wrapText="1"/>
      <protection/>
    </xf>
    <xf numFmtId="1" fontId="14" fillId="0" borderId="10" xfId="46" applyNumberFormat="1" applyFont="1" applyFill="1" applyBorder="1" applyAlignment="1" applyProtection="1" quotePrefix="1">
      <alignment horizontal="center" vertical="center" wrapText="1"/>
      <protection/>
    </xf>
    <xf numFmtId="0" fontId="14" fillId="0" borderId="10" xfId="61" applyFont="1" applyFill="1" applyBorder="1">
      <alignment/>
      <protection/>
    </xf>
    <xf numFmtId="0" fontId="88" fillId="0" borderId="10" xfId="0" applyFont="1" applyFill="1" applyBorder="1" applyAlignment="1">
      <alignment/>
    </xf>
    <xf numFmtId="0" fontId="88" fillId="0" borderId="10" xfId="0" applyFont="1" applyFill="1" applyBorder="1" applyAlignment="1">
      <alignment vertical="center"/>
    </xf>
    <xf numFmtId="2" fontId="3" fillId="0" borderId="10" xfId="0" applyNumberFormat="1" applyFont="1" applyFill="1" applyBorder="1" applyAlignment="1">
      <alignment vertical="center"/>
    </xf>
    <xf numFmtId="179" fontId="88" fillId="0" borderId="10" xfId="41" applyNumberFormat="1" applyFont="1" applyBorder="1" applyAlignment="1">
      <alignment/>
    </xf>
    <xf numFmtId="181" fontId="88" fillId="0" borderId="10" xfId="41" applyNumberFormat="1" applyFont="1" applyBorder="1" applyAlignment="1">
      <alignment/>
    </xf>
    <xf numFmtId="179" fontId="88" fillId="0" borderId="0" xfId="41" applyNumberFormat="1" applyFont="1" applyAlignment="1">
      <alignment/>
    </xf>
    <xf numFmtId="179" fontId="88" fillId="34" borderId="0" xfId="41" applyNumberFormat="1" applyFont="1" applyFill="1" applyAlignment="1">
      <alignment horizontal="center"/>
    </xf>
    <xf numFmtId="1" fontId="12" fillId="0" borderId="10" xfId="46" applyNumberFormat="1" applyFont="1" applyFill="1" applyBorder="1" applyAlignment="1" applyProtection="1">
      <alignment horizontal="center" vertical="center" wrapText="1"/>
      <protection/>
    </xf>
    <xf numFmtId="179" fontId="30" fillId="7" borderId="10" xfId="46" applyNumberFormat="1" applyFont="1" applyFill="1" applyBorder="1" applyAlignment="1">
      <alignment horizontal="right" vertical="center"/>
    </xf>
    <xf numFmtId="179" fontId="30" fillId="7" borderId="10" xfId="46" applyNumberFormat="1" applyFont="1" applyFill="1" applyBorder="1" applyAlignment="1">
      <alignment horizontal="center" vertical="center"/>
    </xf>
    <xf numFmtId="181" fontId="9" fillId="7" borderId="0" xfId="41" applyNumberFormat="1" applyFont="1" applyFill="1" applyAlignment="1">
      <alignment/>
    </xf>
    <xf numFmtId="181" fontId="9" fillId="7" borderId="0" xfId="41" applyNumberFormat="1" applyFont="1" applyFill="1" applyAlignment="1">
      <alignment horizontal="center"/>
    </xf>
    <xf numFmtId="181" fontId="14" fillId="7" borderId="10" xfId="41" applyNumberFormat="1" applyFont="1" applyFill="1" applyBorder="1" applyAlignment="1" quotePrefix="1">
      <alignment horizontal="center" vertical="center" wrapText="1"/>
    </xf>
    <xf numFmtId="181" fontId="24" fillId="7" borderId="10" xfId="41" applyNumberFormat="1" applyFont="1" applyFill="1" applyBorder="1" applyAlignment="1" quotePrefix="1">
      <alignment horizontal="center" vertical="center" wrapText="1"/>
    </xf>
    <xf numFmtId="181" fontId="24" fillId="7" borderId="10" xfId="41" applyNumberFormat="1" applyFont="1" applyFill="1" applyBorder="1" applyAlignment="1">
      <alignment horizontal="center" vertical="center"/>
    </xf>
    <xf numFmtId="181" fontId="14" fillId="7" borderId="10" xfId="41" applyNumberFormat="1" applyFont="1" applyFill="1" applyBorder="1" applyAlignment="1">
      <alignment horizontal="center" vertical="center"/>
    </xf>
    <xf numFmtId="181" fontId="27" fillId="7" borderId="10" xfId="41" applyNumberFormat="1" applyFont="1" applyFill="1" applyBorder="1" applyAlignment="1">
      <alignment horizontal="center" vertical="center"/>
    </xf>
    <xf numFmtId="181" fontId="12" fillId="7" borderId="10" xfId="41" applyNumberFormat="1" applyFont="1" applyFill="1" applyBorder="1" applyAlignment="1">
      <alignment horizontal="center" vertical="center"/>
    </xf>
    <xf numFmtId="181" fontId="28" fillId="7" borderId="10" xfId="41" applyNumberFormat="1" applyFont="1" applyFill="1" applyBorder="1" applyAlignment="1">
      <alignment horizontal="center" vertical="center"/>
    </xf>
    <xf numFmtId="181" fontId="29" fillId="7" borderId="10" xfId="41" applyNumberFormat="1" applyFont="1" applyFill="1" applyBorder="1" applyAlignment="1">
      <alignment horizontal="center" vertical="center"/>
    </xf>
    <xf numFmtId="181" fontId="26" fillId="7" borderId="10" xfId="41" applyNumberFormat="1" applyFont="1" applyFill="1" applyBorder="1" applyAlignment="1">
      <alignment horizontal="center" vertical="center"/>
    </xf>
    <xf numFmtId="181" fontId="6" fillId="7" borderId="10" xfId="41" applyNumberFormat="1" applyFont="1" applyFill="1" applyBorder="1" applyAlignment="1">
      <alignment horizontal="center" vertical="center"/>
    </xf>
    <xf numFmtId="181" fontId="0" fillId="7" borderId="0" xfId="41" applyNumberFormat="1" applyFont="1" applyFill="1" applyAlignment="1">
      <alignment/>
    </xf>
    <xf numFmtId="183" fontId="88" fillId="0" borderId="19" xfId="41" applyNumberFormat="1" applyFont="1" applyBorder="1" applyAlignment="1" quotePrefix="1">
      <alignment horizontal="center" vertical="center" wrapText="1"/>
    </xf>
    <xf numFmtId="171" fontId="87" fillId="34" borderId="20" xfId="41" applyFont="1" applyFill="1" applyBorder="1" applyAlignment="1" quotePrefix="1">
      <alignment horizontal="center" vertical="center" wrapText="1"/>
    </xf>
    <xf numFmtId="171" fontId="87" fillId="0" borderId="20" xfId="41" applyFont="1" applyBorder="1" applyAlignment="1" quotePrefix="1">
      <alignment horizontal="center" vertical="center" wrapText="1"/>
    </xf>
    <xf numFmtId="171" fontId="87" fillId="0" borderId="21" xfId="41" applyFont="1" applyBorder="1" applyAlignment="1" quotePrefix="1">
      <alignment horizontal="center" vertical="center" wrapText="1"/>
    </xf>
    <xf numFmtId="179" fontId="88" fillId="34" borderId="12" xfId="41" applyNumberFormat="1" applyFont="1" applyFill="1" applyBorder="1" applyAlignment="1">
      <alignment horizontal="center" vertical="center"/>
    </xf>
    <xf numFmtId="179" fontId="87" fillId="34" borderId="20" xfId="41" applyNumberFormat="1" applyFont="1" applyFill="1" applyBorder="1" applyAlignment="1">
      <alignment horizontal="center" vertical="center"/>
    </xf>
    <xf numFmtId="171" fontId="87" fillId="34" borderId="20" xfId="41" applyFont="1" applyFill="1" applyBorder="1" applyAlignment="1">
      <alignment horizontal="center" vertical="center"/>
    </xf>
    <xf numFmtId="179" fontId="88" fillId="34" borderId="21" xfId="41" applyNumberFormat="1" applyFont="1" applyFill="1" applyBorder="1" applyAlignment="1">
      <alignment horizontal="center" vertical="center"/>
    </xf>
    <xf numFmtId="171" fontId="88" fillId="34" borderId="12" xfId="41" applyFont="1" applyFill="1" applyBorder="1" applyAlignment="1" quotePrefix="1">
      <alignment horizontal="center" vertical="center" wrapText="1"/>
    </xf>
    <xf numFmtId="194" fontId="87" fillId="34" borderId="20" xfId="41" applyNumberFormat="1" applyFont="1" applyFill="1" applyBorder="1" applyAlignment="1">
      <alignment horizontal="center" vertical="center"/>
    </xf>
    <xf numFmtId="179" fontId="88" fillId="34" borderId="20" xfId="41" applyNumberFormat="1" applyFont="1" applyFill="1" applyBorder="1" applyAlignment="1">
      <alignment horizontal="center" vertical="center"/>
    </xf>
    <xf numFmtId="171" fontId="88" fillId="34" borderId="20" xfId="41" applyFont="1" applyFill="1" applyBorder="1" applyAlignment="1">
      <alignment horizontal="center" vertical="center"/>
    </xf>
    <xf numFmtId="179" fontId="2" fillId="34" borderId="20" xfId="41" applyNumberFormat="1" applyFont="1" applyFill="1" applyBorder="1" applyAlignment="1">
      <alignment horizontal="center" vertical="center"/>
    </xf>
    <xf numFmtId="179" fontId="3" fillId="0" borderId="12" xfId="46" applyNumberFormat="1" applyFont="1" applyFill="1" applyBorder="1" applyAlignment="1">
      <alignment horizontal="center" vertical="center"/>
    </xf>
    <xf numFmtId="171" fontId="2" fillId="34" borderId="20" xfId="41" applyNumberFormat="1" applyFont="1" applyFill="1" applyBorder="1" applyAlignment="1">
      <alignment horizontal="center" vertical="center"/>
    </xf>
    <xf numFmtId="4" fontId="25" fillId="34" borderId="20" xfId="41" applyNumberFormat="1" applyFont="1" applyFill="1" applyBorder="1" applyAlignment="1">
      <alignment horizontal="center" vertical="center"/>
    </xf>
    <xf numFmtId="4" fontId="25" fillId="34" borderId="22" xfId="41" applyNumberFormat="1" applyFont="1" applyFill="1" applyBorder="1" applyAlignment="1">
      <alignment horizontal="center" vertical="center"/>
    </xf>
    <xf numFmtId="4" fontId="25" fillId="34" borderId="23" xfId="41" applyNumberFormat="1" applyFont="1" applyFill="1" applyBorder="1" applyAlignment="1">
      <alignment horizontal="center" vertical="center"/>
    </xf>
    <xf numFmtId="179" fontId="3" fillId="34" borderId="20" xfId="41" applyNumberFormat="1" applyFont="1" applyFill="1" applyBorder="1" applyAlignment="1">
      <alignment horizontal="center" vertical="center"/>
    </xf>
    <xf numFmtId="179" fontId="3" fillId="34" borderId="12" xfId="41" applyNumberFormat="1" applyFont="1" applyFill="1" applyBorder="1" applyAlignment="1">
      <alignment horizontal="center" vertical="center"/>
    </xf>
    <xf numFmtId="179" fontId="3" fillId="34" borderId="23" xfId="41" applyNumberFormat="1" applyFont="1" applyFill="1" applyBorder="1" applyAlignment="1">
      <alignment horizontal="center" vertical="center"/>
    </xf>
    <xf numFmtId="179" fontId="2" fillId="0" borderId="12" xfId="46" applyNumberFormat="1" applyFont="1" applyFill="1" applyBorder="1" applyAlignment="1">
      <alignment horizontal="center" vertical="center"/>
    </xf>
    <xf numFmtId="171" fontId="87" fillId="0" borderId="12" xfId="41" applyFont="1" applyBorder="1" applyAlignment="1" quotePrefix="1">
      <alignment horizontal="center" vertical="center" wrapText="1"/>
    </xf>
    <xf numFmtId="171" fontId="87" fillId="34" borderId="12" xfId="41" applyFont="1" applyFill="1" applyBorder="1" applyAlignment="1" quotePrefix="1">
      <alignment horizontal="center" vertical="center" wrapText="1"/>
    </xf>
    <xf numFmtId="183" fontId="2" fillId="0" borderId="12" xfId="46" applyNumberFormat="1" applyFont="1" applyFill="1" applyBorder="1" applyAlignment="1">
      <alignment horizontal="center" vertical="center"/>
    </xf>
    <xf numFmtId="171" fontId="88" fillId="34" borderId="12" xfId="41" applyFont="1" applyFill="1" applyBorder="1" applyAlignment="1" quotePrefix="1">
      <alignment horizontal="center" wrapText="1"/>
    </xf>
    <xf numFmtId="181" fontId="88" fillId="0" borderId="10" xfId="41" applyNumberFormat="1" applyFont="1" applyBorder="1" applyAlignment="1">
      <alignment horizontal="center" vertical="center" wrapText="1"/>
    </xf>
    <xf numFmtId="181" fontId="87" fillId="34" borderId="10" xfId="41" applyNumberFormat="1" applyFont="1" applyFill="1" applyBorder="1" applyAlignment="1" quotePrefix="1">
      <alignment horizontal="center" vertical="center" wrapText="1"/>
    </xf>
    <xf numFmtId="181" fontId="87" fillId="34" borderId="10" xfId="41" applyNumberFormat="1" applyFont="1" applyFill="1" applyBorder="1" applyAlignment="1">
      <alignment horizontal="center" vertical="center"/>
    </xf>
    <xf numFmtId="183" fontId="87" fillId="34" borderId="10" xfId="41" applyNumberFormat="1" applyFont="1" applyFill="1" applyBorder="1" applyAlignment="1">
      <alignment horizontal="center" vertical="center"/>
    </xf>
    <xf numFmtId="194" fontId="87" fillId="34" borderId="10" xfId="41" applyNumberFormat="1" applyFont="1" applyFill="1" applyBorder="1" applyAlignment="1">
      <alignment horizontal="center" vertical="center"/>
    </xf>
    <xf numFmtId="196" fontId="88" fillId="34" borderId="10" xfId="41" applyNumberFormat="1" applyFont="1" applyFill="1" applyBorder="1" applyAlignment="1">
      <alignment horizontal="center" vertical="center"/>
    </xf>
    <xf numFmtId="196" fontId="87" fillId="34" borderId="10" xfId="41" applyNumberFormat="1" applyFont="1" applyFill="1" applyBorder="1" applyAlignment="1">
      <alignment horizontal="center" vertical="center"/>
    </xf>
    <xf numFmtId="183" fontId="2" fillId="34" borderId="10" xfId="41" applyNumberFormat="1" applyFont="1" applyFill="1" applyBorder="1" applyAlignment="1">
      <alignment horizontal="center" vertical="center"/>
    </xf>
    <xf numFmtId="171" fontId="2" fillId="34" borderId="10" xfId="41" applyNumberFormat="1" applyFont="1" applyFill="1" applyBorder="1" applyAlignment="1">
      <alignment horizontal="center" vertical="center"/>
    </xf>
    <xf numFmtId="3" fontId="25" fillId="34" borderId="10" xfId="41" applyNumberFormat="1" applyFont="1" applyFill="1" applyBorder="1" applyAlignment="1">
      <alignment horizontal="right" vertical="center"/>
    </xf>
    <xf numFmtId="196" fontId="3" fillId="34" borderId="10" xfId="41" applyNumberFormat="1" applyFont="1" applyFill="1" applyBorder="1" applyAlignment="1">
      <alignment horizontal="center" vertical="center"/>
    </xf>
    <xf numFmtId="196" fontId="3" fillId="34" borderId="10" xfId="41" applyNumberFormat="1" applyFont="1" applyFill="1" applyBorder="1" applyAlignment="1">
      <alignment horizontal="right" vertical="center"/>
    </xf>
    <xf numFmtId="0" fontId="11" fillId="0" borderId="10" xfId="61" applyFont="1" applyFill="1" applyBorder="1" applyAlignment="1">
      <alignment horizontal="center" vertical="center"/>
      <protection/>
    </xf>
    <xf numFmtId="0" fontId="79" fillId="34" borderId="14" xfId="0" applyFont="1" applyFill="1" applyBorder="1" applyAlignment="1">
      <alignment horizontal="center" vertical="center"/>
    </xf>
    <xf numFmtId="0" fontId="79" fillId="34" borderId="14" xfId="0" applyFont="1" applyFill="1" applyBorder="1" applyAlignment="1">
      <alignment vertical="center"/>
    </xf>
    <xf numFmtId="179" fontId="79" fillId="34" borderId="14" xfId="41" applyNumberFormat="1" applyFont="1" applyFill="1" applyBorder="1" applyAlignment="1">
      <alignment horizontal="center" vertical="center"/>
    </xf>
    <xf numFmtId="0" fontId="75" fillId="0" borderId="24" xfId="0" applyNumberFormat="1" applyFont="1" applyBorder="1" applyAlignment="1">
      <alignment horizontal="left" vertical="center" wrapText="1"/>
    </xf>
    <xf numFmtId="179" fontId="81" fillId="34" borderId="14" xfId="41" applyNumberFormat="1" applyFont="1" applyFill="1" applyBorder="1" applyAlignment="1">
      <alignment horizontal="center" vertical="center"/>
    </xf>
    <xf numFmtId="183" fontId="78" fillId="34" borderId="14" xfId="41" applyNumberFormat="1" applyFont="1" applyFill="1" applyBorder="1" applyAlignment="1">
      <alignment horizontal="center" vertical="center"/>
    </xf>
    <xf numFmtId="0" fontId="75" fillId="0" borderId="10" xfId="0" applyFont="1" applyBorder="1" applyAlignment="1">
      <alignment horizontal="left" vertical="center" wrapText="1"/>
    </xf>
    <xf numFmtId="171" fontId="78" fillId="34" borderId="14" xfId="0" applyNumberFormat="1" applyFont="1" applyFill="1" applyBorder="1" applyAlignment="1">
      <alignment horizontal="center" vertical="center" wrapText="1"/>
    </xf>
    <xf numFmtId="0" fontId="81" fillId="34" borderId="0" xfId="0" applyFont="1" applyFill="1" applyAlignment="1">
      <alignment horizontal="center" vertical="center"/>
    </xf>
    <xf numFmtId="179" fontId="78" fillId="34" borderId="14" xfId="41" applyNumberFormat="1" applyFont="1" applyFill="1" applyBorder="1" applyAlignment="1">
      <alignment horizontal="center" vertical="center" wrapText="1"/>
    </xf>
    <xf numFmtId="0" fontId="78" fillId="34" borderId="14" xfId="0" applyFont="1" applyFill="1" applyBorder="1" applyAlignment="1">
      <alignment vertical="center" wrapText="1"/>
    </xf>
    <xf numFmtId="0" fontId="78" fillId="34" borderId="17" xfId="0" applyFont="1" applyFill="1" applyBorder="1" applyAlignment="1">
      <alignment vertical="center" wrapText="1"/>
    </xf>
    <xf numFmtId="0" fontId="78" fillId="34" borderId="25" xfId="0" applyFont="1" applyFill="1" applyBorder="1" applyAlignment="1">
      <alignment vertical="center" wrapText="1"/>
    </xf>
    <xf numFmtId="0" fontId="82" fillId="34" borderId="14" xfId="0" applyFont="1" applyFill="1" applyBorder="1" applyAlignment="1">
      <alignment vertical="center" wrapText="1"/>
    </xf>
    <xf numFmtId="181" fontId="5" fillId="0" borderId="10" xfId="41" applyNumberFormat="1" applyFont="1" applyBorder="1" applyAlignment="1">
      <alignment vertical="center"/>
    </xf>
    <xf numFmtId="181" fontId="5" fillId="34" borderId="10" xfId="41" applyNumberFormat="1" applyFont="1" applyFill="1" applyBorder="1" applyAlignment="1">
      <alignment vertical="center"/>
    </xf>
    <xf numFmtId="180" fontId="4" fillId="0" borderId="10" xfId="41" applyNumberFormat="1" applyFont="1" applyBorder="1" applyAlignment="1">
      <alignment vertical="center" wrapText="1"/>
    </xf>
    <xf numFmtId="0" fontId="75" fillId="34" borderId="10" xfId="0" applyFont="1" applyFill="1" applyBorder="1" applyAlignment="1" quotePrefix="1">
      <alignment horizontal="left" wrapText="1"/>
    </xf>
    <xf numFmtId="0" fontId="75" fillId="34" borderId="10" xfId="0" applyFont="1" applyFill="1" applyBorder="1" applyAlignment="1">
      <alignment horizontal="left" wrapText="1"/>
    </xf>
    <xf numFmtId="0" fontId="75" fillId="0" borderId="10" xfId="0" applyFont="1" applyBorder="1" applyAlignment="1" quotePrefix="1">
      <alignment horizontal="left" wrapText="1"/>
    </xf>
    <xf numFmtId="0" fontId="75" fillId="0" borderId="10" xfId="0" applyFont="1" applyBorder="1" applyAlignment="1">
      <alignment horizontal="left" wrapText="1"/>
    </xf>
    <xf numFmtId="181" fontId="5" fillId="0" borderId="0" xfId="0" applyNumberFormat="1" applyFont="1" applyAlignment="1">
      <alignment/>
    </xf>
    <xf numFmtId="182" fontId="5" fillId="0" borderId="0" xfId="0" applyNumberFormat="1" applyFont="1" applyAlignment="1">
      <alignment/>
    </xf>
    <xf numFmtId="0" fontId="75" fillId="0" borderId="10" xfId="0" applyFont="1" applyBorder="1" applyAlignment="1">
      <alignment/>
    </xf>
    <xf numFmtId="181" fontId="75" fillId="0" borderId="10" xfId="41" applyNumberFormat="1" applyFont="1" applyBorder="1" applyAlignment="1">
      <alignment/>
    </xf>
    <xf numFmtId="181" fontId="75" fillId="34" borderId="10" xfId="41" applyNumberFormat="1" applyFont="1" applyFill="1" applyBorder="1" applyAlignment="1">
      <alignment/>
    </xf>
    <xf numFmtId="180" fontId="75" fillId="0" borderId="10" xfId="41" applyNumberFormat="1" applyFont="1" applyBorder="1" applyAlignment="1">
      <alignment/>
    </xf>
    <xf numFmtId="0" fontId="76" fillId="0" borderId="10" xfId="0" applyFont="1" applyBorder="1" applyAlignment="1">
      <alignment/>
    </xf>
    <xf numFmtId="181" fontId="75" fillId="0" borderId="10" xfId="0" applyNumberFormat="1" applyFont="1" applyBorder="1" applyAlignment="1">
      <alignment/>
    </xf>
    <xf numFmtId="181" fontId="76" fillId="0" borderId="10" xfId="0" applyNumberFormat="1" applyFont="1" applyBorder="1" applyAlignment="1">
      <alignment/>
    </xf>
    <xf numFmtId="181" fontId="76" fillId="0" borderId="0" xfId="0" applyNumberFormat="1" applyFont="1" applyAlignment="1">
      <alignment horizontal="center" vertical="center"/>
    </xf>
    <xf numFmtId="0" fontId="75" fillId="0" borderId="10" xfId="0" applyFont="1" applyBorder="1" applyAlignment="1">
      <alignment wrapText="1"/>
    </xf>
    <xf numFmtId="181" fontId="76" fillId="34" borderId="10" xfId="41" applyNumberFormat="1" applyFont="1" applyFill="1" applyBorder="1" applyAlignment="1">
      <alignment/>
    </xf>
    <xf numFmtId="180" fontId="4" fillId="0" borderId="10" xfId="41" applyNumberFormat="1" applyFont="1" applyBorder="1" applyAlignment="1">
      <alignment wrapText="1"/>
    </xf>
    <xf numFmtId="180" fontId="4" fillId="0" borderId="10" xfId="41" applyNumberFormat="1" applyFont="1" applyBorder="1" applyAlignment="1">
      <alignment horizontal="center" vertical="center" wrapText="1"/>
    </xf>
    <xf numFmtId="181" fontId="76" fillId="0" borderId="0" xfId="41" applyNumberFormat="1" applyFont="1" applyAlignment="1">
      <alignment/>
    </xf>
    <xf numFmtId="181" fontId="76" fillId="0" borderId="10" xfId="41" applyNumberFormat="1" applyFont="1" applyBorder="1" applyAlignment="1">
      <alignment wrapText="1"/>
    </xf>
    <xf numFmtId="182" fontId="4" fillId="0" borderId="0" xfId="0" applyNumberFormat="1" applyFont="1" applyAlignment="1">
      <alignment vertical="center"/>
    </xf>
    <xf numFmtId="181" fontId="76" fillId="0" borderId="0" xfId="0" applyNumberFormat="1" applyFont="1" applyAlignment="1">
      <alignment/>
    </xf>
    <xf numFmtId="180" fontId="76" fillId="0" borderId="10" xfId="41" applyNumberFormat="1" applyFont="1" applyBorder="1" applyAlignment="1">
      <alignment horizontal="center" vertical="center"/>
    </xf>
    <xf numFmtId="0" fontId="76" fillId="0" borderId="10" xfId="0" applyFont="1" applyBorder="1" applyAlignment="1">
      <alignment horizontal="center" vertical="center" wrapText="1"/>
    </xf>
    <xf numFmtId="0" fontId="76" fillId="0" borderId="10" xfId="0" applyFont="1" applyBorder="1" applyAlignment="1">
      <alignment horizontal="center" vertical="center"/>
    </xf>
    <xf numFmtId="0" fontId="91" fillId="34" borderId="10" xfId="0" applyFont="1" applyFill="1" applyBorder="1" applyAlignment="1">
      <alignment horizontal="left" wrapText="1"/>
    </xf>
    <xf numFmtId="181" fontId="91" fillId="0" borderId="10" xfId="41" applyNumberFormat="1" applyFont="1" applyBorder="1" applyAlignment="1">
      <alignment/>
    </xf>
    <xf numFmtId="181" fontId="91" fillId="34" borderId="10" xfId="41" applyNumberFormat="1" applyFont="1" applyFill="1" applyBorder="1" applyAlignment="1">
      <alignment/>
    </xf>
    <xf numFmtId="180" fontId="91" fillId="0" borderId="10" xfId="41" applyNumberFormat="1" applyFont="1" applyBorder="1" applyAlignment="1">
      <alignment horizontal="center" wrapText="1"/>
    </xf>
    <xf numFmtId="0" fontId="91" fillId="0" borderId="0" xfId="0" applyFont="1" applyAlignment="1">
      <alignment/>
    </xf>
    <xf numFmtId="0" fontId="5" fillId="0" borderId="10" xfId="0" applyFont="1" applyBorder="1" applyAlignment="1">
      <alignment horizontal="center" vertical="center"/>
    </xf>
    <xf numFmtId="0" fontId="5" fillId="0" borderId="10" xfId="0" applyFont="1" applyBorder="1" applyAlignment="1">
      <alignment vertical="center"/>
    </xf>
    <xf numFmtId="0" fontId="5" fillId="0" borderId="10" xfId="0" applyFont="1" applyBorder="1" applyAlignment="1">
      <alignment vertical="center" wrapText="1"/>
    </xf>
    <xf numFmtId="0" fontId="4" fillId="0" borderId="10" xfId="0" applyFont="1" applyBorder="1" applyAlignment="1">
      <alignment horizontal="center" vertical="center"/>
    </xf>
    <xf numFmtId="0" fontId="4" fillId="0" borderId="10" xfId="0" applyFont="1" applyBorder="1" applyAlignment="1">
      <alignment vertical="center" wrapText="1"/>
    </xf>
    <xf numFmtId="182" fontId="4" fillId="0" borderId="10" xfId="0" applyNumberFormat="1" applyFont="1" applyBorder="1" applyAlignment="1">
      <alignment vertical="center" wrapText="1"/>
    </xf>
    <xf numFmtId="0" fontId="91" fillId="0" borderId="10" xfId="0" applyFont="1" applyBorder="1" applyAlignment="1">
      <alignment horizontal="center" vertical="center"/>
    </xf>
    <xf numFmtId="182" fontId="91" fillId="0" borderId="10" xfId="0" applyNumberFormat="1" applyFont="1" applyBorder="1" applyAlignment="1">
      <alignment vertical="center" wrapText="1"/>
    </xf>
    <xf numFmtId="0" fontId="23" fillId="0" borderId="10" xfId="0" applyFont="1" applyBorder="1" applyAlignment="1">
      <alignment horizontal="center" vertical="center"/>
    </xf>
    <xf numFmtId="182" fontId="5" fillId="0" borderId="10" xfId="0" applyNumberFormat="1" applyFont="1" applyBorder="1" applyAlignment="1">
      <alignment vertical="center" wrapText="1"/>
    </xf>
    <xf numFmtId="0" fontId="4" fillId="0" borderId="18" xfId="0" applyFont="1" applyBorder="1" applyAlignment="1">
      <alignment vertical="center" wrapText="1"/>
    </xf>
    <xf numFmtId="0" fontId="4" fillId="0" borderId="12" xfId="0" applyFont="1" applyBorder="1" applyAlignment="1">
      <alignment horizontal="center" vertical="center"/>
    </xf>
    <xf numFmtId="0" fontId="75" fillId="0" borderId="10" xfId="0" applyFont="1" applyBorder="1" applyAlignment="1">
      <alignment horizontal="justify" vertical="center" wrapText="1"/>
    </xf>
    <xf numFmtId="0" fontId="75" fillId="0" borderId="10" xfId="0" applyFont="1" applyBorder="1" applyAlignment="1">
      <alignment horizontal="justify" vertical="top" wrapText="1"/>
    </xf>
    <xf numFmtId="0" fontId="4" fillId="0" borderId="24" xfId="0" applyFont="1" applyBorder="1" applyAlignment="1">
      <alignment vertical="center" wrapText="1"/>
    </xf>
    <xf numFmtId="0" fontId="4" fillId="0" borderId="15" xfId="0" applyFont="1" applyBorder="1" applyAlignment="1">
      <alignment vertical="center" wrapText="1"/>
    </xf>
    <xf numFmtId="0" fontId="4" fillId="0" borderId="17" xfId="63" applyFont="1" applyFill="1" applyBorder="1" applyAlignment="1">
      <alignment vertical="center" wrapText="1"/>
      <protection/>
    </xf>
    <xf numFmtId="0" fontId="4" fillId="0" borderId="16" xfId="63" applyFont="1" applyFill="1" applyBorder="1" applyAlignment="1">
      <alignment vertical="center" wrapText="1"/>
      <protection/>
    </xf>
    <xf numFmtId="0" fontId="76" fillId="0" borderId="0" xfId="0" applyFont="1" applyAlignment="1">
      <alignment horizontal="center"/>
    </xf>
    <xf numFmtId="0" fontId="92" fillId="0" borderId="0" xfId="0" applyFont="1" applyAlignment="1">
      <alignment horizontal="center"/>
    </xf>
    <xf numFmtId="0" fontId="76" fillId="0" borderId="10" xfId="0" applyFont="1" applyBorder="1" applyAlignment="1">
      <alignment horizontal="center" vertical="center" wrapText="1"/>
    </xf>
    <xf numFmtId="0" fontId="76" fillId="0" borderId="10" xfId="0" applyFont="1" applyBorder="1" applyAlignment="1">
      <alignment horizontal="center" vertical="center"/>
    </xf>
    <xf numFmtId="181" fontId="75" fillId="0" borderId="12" xfId="41" applyNumberFormat="1" applyFont="1" applyBorder="1" applyAlignment="1">
      <alignment horizontal="center"/>
    </xf>
    <xf numFmtId="181" fontId="75" fillId="0" borderId="26" xfId="41" applyNumberFormat="1" applyFont="1" applyBorder="1" applyAlignment="1">
      <alignment horizontal="center"/>
    </xf>
    <xf numFmtId="181" fontId="75" fillId="0" borderId="27" xfId="41" applyNumberFormat="1" applyFont="1" applyBorder="1" applyAlignment="1">
      <alignment horizontal="center"/>
    </xf>
    <xf numFmtId="181" fontId="76" fillId="34" borderId="10" xfId="41" applyNumberFormat="1" applyFont="1" applyFill="1" applyBorder="1" applyAlignment="1">
      <alignment horizontal="center" vertical="center" wrapText="1"/>
    </xf>
    <xf numFmtId="181" fontId="76" fillId="0" borderId="12" xfId="41" applyNumberFormat="1" applyFont="1" applyBorder="1" applyAlignment="1">
      <alignment horizontal="center" vertical="center" wrapText="1"/>
    </xf>
    <xf numFmtId="181" fontId="76" fillId="0" borderId="27" xfId="41" applyNumberFormat="1" applyFont="1" applyBorder="1" applyAlignment="1">
      <alignment horizontal="center" vertical="center" wrapText="1"/>
    </xf>
    <xf numFmtId="181" fontId="76" fillId="0" borderId="18" xfId="41" applyNumberFormat="1" applyFont="1" applyBorder="1" applyAlignment="1">
      <alignment horizontal="center" vertical="center" wrapText="1"/>
    </xf>
    <xf numFmtId="181" fontId="76" fillId="0" borderId="24" xfId="41" applyNumberFormat="1" applyFont="1" applyBorder="1" applyAlignment="1">
      <alignment horizontal="center" vertical="center" wrapText="1"/>
    </xf>
    <xf numFmtId="180" fontId="76" fillId="0" borderId="10" xfId="41" applyNumberFormat="1" applyFont="1" applyBorder="1" applyAlignment="1">
      <alignment horizontal="center" vertical="center"/>
    </xf>
    <xf numFmtId="183" fontId="24" fillId="7" borderId="18" xfId="46" applyNumberFormat="1" applyFont="1" applyFill="1" applyBorder="1" applyAlignment="1">
      <alignment horizontal="center" vertical="center" wrapText="1"/>
    </xf>
    <xf numFmtId="183" fontId="24" fillId="7" borderId="15" xfId="46" applyNumberFormat="1" applyFont="1" applyFill="1" applyBorder="1" applyAlignment="1">
      <alignment horizontal="center" vertical="center" wrapText="1"/>
    </xf>
    <xf numFmtId="183" fontId="24" fillId="7" borderId="24" xfId="46" applyNumberFormat="1" applyFont="1" applyFill="1" applyBorder="1" applyAlignment="1">
      <alignment horizontal="center" vertical="center" wrapText="1"/>
    </xf>
    <xf numFmtId="179" fontId="87" fillId="0" borderId="18" xfId="41" applyNumberFormat="1" applyFont="1" applyBorder="1" applyAlignment="1">
      <alignment horizontal="center" vertical="center" wrapText="1"/>
    </xf>
    <xf numFmtId="179" fontId="87" fillId="0" borderId="15" xfId="41" applyNumberFormat="1" applyFont="1" applyBorder="1" applyAlignment="1">
      <alignment horizontal="center" vertical="center" wrapText="1"/>
    </xf>
    <xf numFmtId="179" fontId="87" fillId="0" borderId="24" xfId="41" applyNumberFormat="1" applyFont="1" applyBorder="1" applyAlignment="1">
      <alignment horizontal="center" vertical="center" wrapText="1"/>
    </xf>
    <xf numFmtId="179" fontId="87" fillId="0" borderId="12" xfId="41" applyNumberFormat="1" applyFont="1" applyBorder="1" applyAlignment="1">
      <alignment horizontal="center" vertical="center" wrapText="1"/>
    </xf>
    <xf numFmtId="179" fontId="87" fillId="0" borderId="10" xfId="41" applyNumberFormat="1" applyFont="1" applyBorder="1" applyAlignment="1">
      <alignment horizontal="center"/>
    </xf>
    <xf numFmtId="179" fontId="87" fillId="0" borderId="12" xfId="41" applyNumberFormat="1" applyFont="1" applyBorder="1" applyAlignment="1">
      <alignment horizontal="center"/>
    </xf>
    <xf numFmtId="0" fontId="9" fillId="0" borderId="0" xfId="61" applyFont="1" applyFill="1" applyAlignment="1">
      <alignment horizontal="center"/>
      <protection/>
    </xf>
    <xf numFmtId="179" fontId="9" fillId="0" borderId="0" xfId="61" applyNumberFormat="1" applyFont="1" applyFill="1" applyAlignment="1">
      <alignment horizontal="right"/>
      <protection/>
    </xf>
    <xf numFmtId="0" fontId="13" fillId="0" borderId="0" xfId="61" applyFont="1" applyFill="1" applyAlignment="1">
      <alignment horizontal="center"/>
      <protection/>
    </xf>
    <xf numFmtId="179" fontId="13" fillId="0" borderId="0" xfId="61" applyNumberFormat="1" applyFont="1" applyFill="1" applyAlignment="1">
      <alignment horizontal="right"/>
      <protection/>
    </xf>
    <xf numFmtId="0" fontId="24" fillId="0" borderId="18" xfId="61" applyFont="1" applyFill="1" applyBorder="1" applyAlignment="1">
      <alignment horizontal="center" vertical="center"/>
      <protection/>
    </xf>
    <xf numFmtId="0" fontId="24" fillId="0" borderId="15" xfId="61" applyFont="1" applyFill="1" applyBorder="1" applyAlignment="1">
      <alignment horizontal="center" vertical="center"/>
      <protection/>
    </xf>
    <xf numFmtId="0" fontId="24" fillId="0" borderId="24" xfId="61" applyFont="1" applyFill="1" applyBorder="1" applyAlignment="1">
      <alignment horizontal="center" vertical="center"/>
      <protection/>
    </xf>
    <xf numFmtId="181" fontId="24" fillId="7" borderId="18" xfId="41" applyNumberFormat="1" applyFont="1" applyFill="1" applyBorder="1" applyAlignment="1">
      <alignment horizontal="center" vertical="center" wrapText="1"/>
    </xf>
    <xf numFmtId="181" fontId="24" fillId="7" borderId="15" xfId="41" applyNumberFormat="1" applyFont="1" applyFill="1" applyBorder="1" applyAlignment="1">
      <alignment horizontal="center" vertical="center" wrapText="1"/>
    </xf>
    <xf numFmtId="181" fontId="24" fillId="7" borderId="24" xfId="41" applyNumberFormat="1" applyFont="1" applyFill="1" applyBorder="1" applyAlignment="1">
      <alignment horizontal="center" vertical="center" wrapText="1"/>
    </xf>
    <xf numFmtId="179" fontId="24" fillId="7" borderId="12" xfId="46" applyNumberFormat="1" applyFont="1" applyFill="1" applyBorder="1" applyAlignment="1">
      <alignment horizontal="center"/>
    </xf>
    <xf numFmtId="179" fontId="24" fillId="7" borderId="26" xfId="46" applyNumberFormat="1" applyFont="1" applyFill="1" applyBorder="1" applyAlignment="1">
      <alignment horizontal="center"/>
    </xf>
    <xf numFmtId="179" fontId="24" fillId="7" borderId="26" xfId="46" applyNumberFormat="1" applyFont="1" applyFill="1" applyBorder="1" applyAlignment="1">
      <alignment horizontal="right"/>
    </xf>
    <xf numFmtId="179" fontId="24" fillId="7" borderId="27" xfId="46" applyNumberFormat="1" applyFont="1" applyFill="1" applyBorder="1" applyAlignment="1">
      <alignment horizontal="center"/>
    </xf>
    <xf numFmtId="179" fontId="24" fillId="7" borderId="18" xfId="46" applyNumberFormat="1" applyFont="1" applyFill="1" applyBorder="1" applyAlignment="1">
      <alignment horizontal="center" vertical="center" wrapText="1"/>
    </xf>
    <xf numFmtId="179" fontId="24" fillId="7" borderId="24" xfId="46" applyNumberFormat="1" applyFont="1" applyFill="1" applyBorder="1" applyAlignment="1">
      <alignment horizontal="center" vertical="center" wrapText="1"/>
    </xf>
    <xf numFmtId="179" fontId="24" fillId="7" borderId="24" xfId="46" applyNumberFormat="1" applyFont="1" applyFill="1" applyBorder="1" applyAlignment="1">
      <alignment horizontal="right" vertical="center" wrapText="1"/>
    </xf>
    <xf numFmtId="179" fontId="24" fillId="7" borderId="10" xfId="46" applyNumberFormat="1" applyFont="1" applyFill="1" applyBorder="1" applyAlignment="1">
      <alignment horizontal="right" vertical="center" wrapText="1"/>
    </xf>
    <xf numFmtId="179" fontId="24" fillId="7" borderId="10" xfId="46" applyNumberFormat="1" applyFont="1" applyFill="1" applyBorder="1" applyAlignment="1">
      <alignment horizontal="center" vertical="center" wrapText="1"/>
    </xf>
    <xf numFmtId="181" fontId="24" fillId="7" borderId="24" xfId="46" applyNumberFormat="1" applyFont="1" applyFill="1" applyBorder="1" applyAlignment="1">
      <alignment horizontal="center" vertical="center"/>
    </xf>
    <xf numFmtId="181" fontId="24" fillId="7" borderId="24" xfId="46" applyNumberFormat="1" applyFont="1" applyFill="1" applyBorder="1" applyAlignment="1">
      <alignment horizontal="right" vertical="center"/>
    </xf>
    <xf numFmtId="0" fontId="6" fillId="0" borderId="18" xfId="61" applyFont="1" applyFill="1" applyBorder="1" applyAlignment="1">
      <alignment horizontal="center" vertical="center" wrapText="1"/>
      <protection/>
    </xf>
    <xf numFmtId="0" fontId="6" fillId="0" borderId="15" xfId="61" applyFont="1" applyFill="1" applyBorder="1" applyAlignment="1">
      <alignment horizontal="center" vertical="center" wrapText="1"/>
      <protection/>
    </xf>
    <xf numFmtId="0" fontId="6" fillId="0" borderId="24" xfId="61" applyFont="1" applyFill="1" applyBorder="1" applyAlignment="1">
      <alignment horizontal="center" vertical="center" wrapText="1"/>
      <protection/>
    </xf>
    <xf numFmtId="181" fontId="87" fillId="0" borderId="10" xfId="41" applyNumberFormat="1" applyFont="1" applyBorder="1" applyAlignment="1">
      <alignment horizontal="center" vertical="center" wrapText="1"/>
    </xf>
    <xf numFmtId="179" fontId="87" fillId="34" borderId="18" xfId="41" applyNumberFormat="1" applyFont="1" applyFill="1" applyBorder="1" applyAlignment="1">
      <alignment horizontal="center" vertical="center" wrapText="1"/>
    </xf>
    <xf numFmtId="179" fontId="87" fillId="34" borderId="24" xfId="41" applyNumberFormat="1" applyFont="1" applyFill="1" applyBorder="1" applyAlignment="1">
      <alignment horizontal="center" vertical="center" wrapText="1"/>
    </xf>
    <xf numFmtId="179" fontId="87" fillId="0" borderId="10" xfId="41" applyNumberFormat="1" applyFont="1" applyBorder="1" applyAlignment="1">
      <alignment horizontal="center" vertical="center" wrapText="1"/>
    </xf>
    <xf numFmtId="179" fontId="87" fillId="0" borderId="12" xfId="41" applyNumberFormat="1" applyFont="1" applyBorder="1" applyAlignment="1">
      <alignment horizontal="center" vertical="center"/>
    </xf>
    <xf numFmtId="179" fontId="87" fillId="0" borderId="26" xfId="41" applyNumberFormat="1" applyFont="1" applyBorder="1" applyAlignment="1">
      <alignment horizontal="center" vertical="center"/>
    </xf>
    <xf numFmtId="179" fontId="77" fillId="0" borderId="18" xfId="41" applyNumberFormat="1" applyFont="1" applyBorder="1" applyAlignment="1">
      <alignment horizontal="center" vertical="center" wrapText="1"/>
    </xf>
    <xf numFmtId="179" fontId="77" fillId="0" borderId="15" xfId="41" applyNumberFormat="1" applyFont="1" applyBorder="1" applyAlignment="1">
      <alignment horizontal="center" vertical="center" wrapText="1"/>
    </xf>
    <xf numFmtId="179" fontId="77" fillId="0" borderId="24" xfId="41" applyNumberFormat="1" applyFont="1" applyBorder="1" applyAlignment="1">
      <alignment horizontal="center" vertical="center" wrapText="1"/>
    </xf>
    <xf numFmtId="179" fontId="77" fillId="0" borderId="10" xfId="41" applyNumberFormat="1" applyFont="1" applyBorder="1" applyAlignment="1">
      <alignment horizontal="center"/>
    </xf>
    <xf numFmtId="181" fontId="77" fillId="0" borderId="18" xfId="41" applyNumberFormat="1" applyFont="1" applyBorder="1" applyAlignment="1">
      <alignment horizontal="center" vertical="center" wrapText="1"/>
    </xf>
    <xf numFmtId="181" fontId="77" fillId="0" borderId="15" xfId="41" applyNumberFormat="1" applyFont="1" applyBorder="1" applyAlignment="1">
      <alignment horizontal="center" vertical="center" wrapText="1"/>
    </xf>
    <xf numFmtId="181" fontId="77" fillId="0" borderId="24" xfId="41" applyNumberFormat="1" applyFont="1" applyBorder="1" applyAlignment="1">
      <alignment horizontal="center" vertical="center" wrapText="1"/>
    </xf>
    <xf numFmtId="0" fontId="77" fillId="0" borderId="10" xfId="0" applyFont="1" applyBorder="1" applyAlignment="1">
      <alignment horizontal="center" vertical="center" wrapText="1"/>
    </xf>
    <xf numFmtId="179" fontId="77" fillId="34" borderId="18" xfId="41" applyNumberFormat="1" applyFont="1" applyFill="1" applyBorder="1" applyAlignment="1">
      <alignment horizontal="center" vertical="center" wrapText="1"/>
    </xf>
    <xf numFmtId="179" fontId="77" fillId="34" borderId="24" xfId="41" applyNumberFormat="1" applyFont="1" applyFill="1" applyBorder="1" applyAlignment="1">
      <alignment horizontal="center" vertical="center" wrapText="1"/>
    </xf>
    <xf numFmtId="183" fontId="78" fillId="0" borderId="21" xfId="0" applyNumberFormat="1" applyFont="1" applyBorder="1" applyAlignment="1">
      <alignment horizontal="center" vertical="center"/>
    </xf>
    <xf numFmtId="183" fontId="78" fillId="0" borderId="0" xfId="0" applyNumberFormat="1" applyFont="1" applyAlignment="1">
      <alignment horizontal="center" vertical="center"/>
    </xf>
    <xf numFmtId="179" fontId="77" fillId="0" borderId="10" xfId="41" applyNumberFormat="1" applyFont="1" applyBorder="1" applyAlignment="1">
      <alignment horizontal="center" vertical="center" wrapText="1"/>
    </xf>
    <xf numFmtId="179" fontId="77" fillId="0" borderId="12" xfId="41" applyNumberFormat="1" applyFont="1" applyBorder="1" applyAlignment="1">
      <alignment horizontal="center" vertical="center"/>
    </xf>
    <xf numFmtId="179" fontId="77" fillId="0" borderId="26" xfId="41" applyNumberFormat="1" applyFont="1" applyBorder="1" applyAlignment="1">
      <alignment horizontal="center" vertical="center"/>
    </xf>
    <xf numFmtId="183" fontId="78" fillId="0" borderId="21" xfId="0" applyNumberFormat="1" applyFont="1" applyBorder="1" applyAlignment="1">
      <alignment horizontal="center"/>
    </xf>
    <xf numFmtId="183" fontId="78" fillId="0" borderId="0" xfId="0" applyNumberFormat="1" applyFont="1" applyAlignment="1">
      <alignment horizontal="center"/>
    </xf>
    <xf numFmtId="0" fontId="77" fillId="0" borderId="0" xfId="0" applyFont="1" applyAlignment="1">
      <alignment horizontal="center"/>
    </xf>
    <xf numFmtId="0" fontId="81" fillId="0" borderId="0" xfId="0" applyFont="1" applyAlignment="1">
      <alignment horizontal="center"/>
    </xf>
    <xf numFmtId="0" fontId="77" fillId="0" borderId="18" xfId="0" applyFont="1" applyBorder="1" applyAlignment="1">
      <alignment horizontal="center" vertical="center"/>
    </xf>
    <xf numFmtId="0" fontId="77" fillId="0" borderId="15" xfId="0" applyFont="1" applyBorder="1" applyAlignment="1">
      <alignment horizontal="center" vertical="center"/>
    </xf>
    <xf numFmtId="0" fontId="77" fillId="0" borderId="24" xfId="0" applyFont="1" applyBorder="1" applyAlignment="1">
      <alignment horizontal="center" vertical="center"/>
    </xf>
    <xf numFmtId="0" fontId="78" fillId="34" borderId="17" xfId="0" applyFont="1" applyFill="1" applyBorder="1" applyAlignment="1">
      <alignment horizontal="center" vertical="center"/>
    </xf>
    <xf numFmtId="0" fontId="78" fillId="34" borderId="25" xfId="0" applyFont="1" applyFill="1" applyBorder="1" applyAlignment="1">
      <alignment horizontal="center" vertical="center"/>
    </xf>
    <xf numFmtId="0" fontId="75" fillId="0" borderId="18" xfId="0" applyFont="1" applyBorder="1" applyAlignment="1">
      <alignment horizontal="left" vertical="center" wrapText="1"/>
    </xf>
    <xf numFmtId="0" fontId="75" fillId="0" borderId="25" xfId="0" applyFont="1" applyBorder="1" applyAlignment="1">
      <alignment horizontal="left" vertical="center" wrapText="1"/>
    </xf>
    <xf numFmtId="0" fontId="78" fillId="34" borderId="15" xfId="0" applyFont="1" applyFill="1" applyBorder="1" applyAlignment="1">
      <alignment horizontal="center" vertical="center"/>
    </xf>
    <xf numFmtId="0" fontId="78" fillId="34" borderId="17" xfId="0" applyFont="1" applyFill="1" applyBorder="1" applyAlignment="1">
      <alignment horizontal="left" vertical="center" wrapText="1"/>
    </xf>
    <xf numFmtId="0" fontId="78" fillId="34" borderId="15" xfId="0" applyFont="1" applyFill="1" applyBorder="1" applyAlignment="1">
      <alignment horizontal="left" vertical="center" wrapText="1"/>
    </xf>
    <xf numFmtId="0" fontId="78" fillId="34" borderId="25" xfId="0" applyFont="1" applyFill="1" applyBorder="1" applyAlignment="1">
      <alignment horizontal="left" vertical="center" wrapText="1"/>
    </xf>
    <xf numFmtId="0" fontId="78" fillId="34" borderId="18" xfId="0" applyFont="1" applyFill="1" applyBorder="1" applyAlignment="1">
      <alignment horizontal="left"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2" xfId="43"/>
    <cellStyle name="Comma 2 5" xfId="44"/>
    <cellStyle name="Comma 2 6 3" xfId="45"/>
    <cellStyle name="Comma 40" xfId="46"/>
    <cellStyle name="Currency" xfId="47"/>
    <cellStyle name="Currency [0]" xfId="48"/>
    <cellStyle name="Check Cell"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19" xfId="61"/>
    <cellStyle name="Normal 2 2 3" xfId="62"/>
    <cellStyle name="Normal 6" xfId="63"/>
    <cellStyle name="Normal_Sheet1"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8.12%20bi&#7875;u%20k&#232;m%20Q&#272;%20UB%20%20DT%20C&#272;%202021%20(1)%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73;&#417;n%20v&#7883;\nhu%20c&#7847;u%20ti&#7873;n%20l&#432;&#417;ng%20th&#225;ng%2006-12.2021.TTDV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0"/>
      <sheetName val="31"/>
      <sheetName val="32"/>
      <sheetName val="33"/>
      <sheetName val="34"/>
      <sheetName val="35"/>
      <sheetName val="36"/>
      <sheetName val="37"/>
      <sheetName val="39"/>
      <sheetName val="41"/>
      <sheetName val="42"/>
      <sheetName val="46TAM"/>
      <sheetName val="44"/>
      <sheetName val="47"/>
      <sheetName val="03"/>
      <sheetName val="04"/>
      <sheetName val="TH xã"/>
      <sheetName val="PB chi tiet cap huyenchi tiet 6"/>
      <sheetName val="sheeet2"/>
      <sheetName val="sheeet1"/>
      <sheetName val="sheeet TM"/>
      <sheetName val="sheeet138"/>
      <sheetName val="sheeet146TAM"/>
      <sheetName val="SHEET"/>
      <sheetName val="sheet 1"/>
      <sheetName val="sheet2"/>
      <sheetName val="gd"/>
    </sheetNames>
    <sheetDataSet>
      <sheetData sheetId="25">
        <row r="266">
          <cell r="Y266">
            <v>1114465000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
      <sheetName val="2"/>
      <sheetName val="Sheet1"/>
    </sheetNames>
    <sheetDataSet>
      <sheetData sheetId="0">
        <row r="9">
          <cell r="C9">
            <v>494264000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P74"/>
  <sheetViews>
    <sheetView tabSelected="1" zoomScalePageLayoutView="0" workbookViewId="0" topLeftCell="A1">
      <pane ySplit="5" topLeftCell="A6" activePane="bottomLeft" state="frozen"/>
      <selection pane="topLeft" activeCell="A1" sqref="A1"/>
      <selection pane="bottomLeft" activeCell="J5" sqref="J5"/>
    </sheetView>
  </sheetViews>
  <sheetFormatPr defaultColWidth="9.140625" defaultRowHeight="15"/>
  <cols>
    <col min="1" max="1" width="6.140625" style="1" customWidth="1"/>
    <col min="2" max="2" width="32.57421875" style="1" customWidth="1"/>
    <col min="3" max="4" width="17.8515625" style="1" customWidth="1"/>
    <col min="5" max="5" width="16.421875" style="4" customWidth="1"/>
    <col min="6" max="6" width="15.28125" style="4" customWidth="1"/>
    <col min="7" max="7" width="16.7109375" style="37" hidden="1" customWidth="1"/>
    <col min="8" max="8" width="17.28125" style="37" hidden="1" customWidth="1"/>
    <col min="9" max="9" width="16.28125" style="4" customWidth="1"/>
    <col min="10" max="10" width="16.57421875" style="4" customWidth="1"/>
    <col min="11" max="11" width="17.140625" style="4" customWidth="1"/>
    <col min="12" max="12" width="27.8515625" style="3" customWidth="1"/>
    <col min="13" max="13" width="15.140625" style="1" hidden="1" customWidth="1"/>
    <col min="14" max="15" width="0" style="1" hidden="1" customWidth="1"/>
    <col min="16" max="16384" width="9.140625" style="1" customWidth="1"/>
  </cols>
  <sheetData>
    <row r="1" spans="1:12" ht="30" customHeight="1">
      <c r="A1" s="558" t="s">
        <v>380</v>
      </c>
      <c r="B1" s="558"/>
      <c r="C1" s="558"/>
      <c r="D1" s="558"/>
      <c r="E1" s="558"/>
      <c r="F1" s="558"/>
      <c r="G1" s="558"/>
      <c r="H1" s="558"/>
      <c r="I1" s="558"/>
      <c r="J1" s="558"/>
      <c r="K1" s="558"/>
      <c r="L1" s="558"/>
    </row>
    <row r="2" spans="1:12" ht="17.25" customHeight="1">
      <c r="A2" s="559" t="s">
        <v>379</v>
      </c>
      <c r="B2" s="559"/>
      <c r="C2" s="559"/>
      <c r="D2" s="559"/>
      <c r="E2" s="559"/>
      <c r="F2" s="559"/>
      <c r="G2" s="559"/>
      <c r="H2" s="559"/>
      <c r="I2" s="559"/>
      <c r="J2" s="559"/>
      <c r="K2" s="559"/>
      <c r="L2" s="559"/>
    </row>
    <row r="3" ht="23.25" customHeight="1">
      <c r="J3" s="4" t="s">
        <v>25</v>
      </c>
    </row>
    <row r="4" spans="1:12" ht="15" customHeight="1">
      <c r="A4" s="560" t="s">
        <v>0</v>
      </c>
      <c r="B4" s="561" t="s">
        <v>1</v>
      </c>
      <c r="C4" s="560" t="s">
        <v>341</v>
      </c>
      <c r="D4" s="562" t="s">
        <v>20</v>
      </c>
      <c r="E4" s="563"/>
      <c r="F4" s="564"/>
      <c r="G4" s="565" t="s">
        <v>233</v>
      </c>
      <c r="H4" s="565" t="s">
        <v>19</v>
      </c>
      <c r="I4" s="566" t="s">
        <v>21</v>
      </c>
      <c r="J4" s="567"/>
      <c r="K4" s="568" t="s">
        <v>333</v>
      </c>
      <c r="L4" s="570" t="s">
        <v>3</v>
      </c>
    </row>
    <row r="5" spans="1:12" s="2" customFormat="1" ht="57">
      <c r="A5" s="560"/>
      <c r="B5" s="561"/>
      <c r="C5" s="560"/>
      <c r="D5" s="533" t="s">
        <v>349</v>
      </c>
      <c r="E5" s="5" t="s">
        <v>2</v>
      </c>
      <c r="F5" s="5" t="s">
        <v>359</v>
      </c>
      <c r="G5" s="565"/>
      <c r="H5" s="565"/>
      <c r="I5" s="5" t="s">
        <v>22</v>
      </c>
      <c r="J5" s="5" t="s">
        <v>23</v>
      </c>
      <c r="K5" s="569"/>
      <c r="L5" s="570"/>
    </row>
    <row r="6" spans="1:13" s="2" customFormat="1" ht="14.25">
      <c r="A6" s="533"/>
      <c r="B6" s="534" t="s">
        <v>24</v>
      </c>
      <c r="C6" s="5">
        <f aca="true" t="shared" si="0" ref="C6:K6">C7+C58+C61+C66+C69+C72</f>
        <v>19698063000</v>
      </c>
      <c r="D6" s="5">
        <f t="shared" si="0"/>
        <v>4767475000</v>
      </c>
      <c r="E6" s="5">
        <f t="shared" si="0"/>
        <v>14789058000</v>
      </c>
      <c r="F6" s="5">
        <f t="shared" si="0"/>
        <v>141530000</v>
      </c>
      <c r="G6" s="5">
        <f t="shared" si="0"/>
        <v>19430109342.45</v>
      </c>
      <c r="H6" s="5">
        <f t="shared" si="0"/>
        <v>-267953657.5500002</v>
      </c>
      <c r="I6" s="5">
        <f t="shared" si="0"/>
        <v>3626407658</v>
      </c>
      <c r="J6" s="5">
        <f t="shared" si="0"/>
        <v>3626407657.5</v>
      </c>
      <c r="K6" s="5">
        <f t="shared" si="0"/>
        <v>19698062999.5</v>
      </c>
      <c r="L6" s="532"/>
      <c r="M6" s="523"/>
    </row>
    <row r="7" spans="1:13" s="8" customFormat="1" ht="14.25">
      <c r="A7" s="540" t="s">
        <v>4</v>
      </c>
      <c r="B7" s="541" t="s">
        <v>5</v>
      </c>
      <c r="C7" s="6">
        <f>C8+C16+C18+C22+C26+C28+C30+C33+C35+C45+C49+C51+C55+C57</f>
        <v>17748318000</v>
      </c>
      <c r="D7" s="6">
        <f>D8+D16+D18+D22+D26+D28+D30+D33+D35+D45+D49+D51+D55+D57</f>
        <v>4767475000</v>
      </c>
      <c r="E7" s="6">
        <f aca="true" t="shared" si="1" ref="E7:J7">E8+E16+E18+E22+E26+E28+E30+E33+E35+E45+E49+E51+E55+E57</f>
        <v>12839313000</v>
      </c>
      <c r="F7" s="6">
        <f t="shared" si="1"/>
        <v>141530000</v>
      </c>
      <c r="G7" s="6">
        <f t="shared" si="1"/>
        <v>17344199342.45</v>
      </c>
      <c r="H7" s="6">
        <f t="shared" si="1"/>
        <v>-404118657.5500002</v>
      </c>
      <c r="I7" s="6">
        <f t="shared" si="1"/>
        <v>3401242658</v>
      </c>
      <c r="J7" s="6">
        <f t="shared" si="1"/>
        <v>3587407657.5</v>
      </c>
      <c r="K7" s="6">
        <f>K8+K16+K18+K22+K26+K28+K30+K33+K35+K45+K49+K51+K55+K57</f>
        <v>17562152999.5</v>
      </c>
      <c r="L7" s="7"/>
      <c r="M7" s="531"/>
    </row>
    <row r="8" spans="1:13" s="8" customFormat="1" ht="14.25">
      <c r="A8" s="540">
        <v>1</v>
      </c>
      <c r="B8" s="542" t="s">
        <v>6</v>
      </c>
      <c r="C8" s="6">
        <f>SUM(C9:C15)</f>
        <v>5768118000</v>
      </c>
      <c r="D8" s="6">
        <f aca="true" t="shared" si="2" ref="D8:K8">SUM(D9:D15)</f>
        <v>0</v>
      </c>
      <c r="E8" s="6">
        <f t="shared" si="2"/>
        <v>5633118000</v>
      </c>
      <c r="F8" s="6">
        <f t="shared" si="2"/>
        <v>135000000</v>
      </c>
      <c r="G8" s="6">
        <f>SUM(G9:G15)</f>
        <v>5544522600.45</v>
      </c>
      <c r="H8" s="6">
        <f t="shared" si="2"/>
        <v>-223595399.5500002</v>
      </c>
      <c r="I8" s="6">
        <f t="shared" si="2"/>
        <v>57720000</v>
      </c>
      <c r="J8" s="6">
        <f t="shared" si="2"/>
        <v>281315400</v>
      </c>
      <c r="K8" s="6">
        <f t="shared" si="2"/>
        <v>5544522600</v>
      </c>
      <c r="L8" s="7"/>
      <c r="M8" s="531"/>
    </row>
    <row r="9" spans="1:12" s="210" customFormat="1" ht="90.75" customHeight="1">
      <c r="A9" s="543" t="s">
        <v>302</v>
      </c>
      <c r="B9" s="544" t="s">
        <v>303</v>
      </c>
      <c r="C9" s="545">
        <f aca="true" t="shared" si="3" ref="C9:C14">E9+F9</f>
        <v>5158818000</v>
      </c>
      <c r="D9" s="545"/>
      <c r="E9" s="545">
        <f>5158818000</f>
        <v>5158818000</v>
      </c>
      <c r="F9" s="38"/>
      <c r="G9" s="39">
        <f>'Chi tiết'!W93+287315180</f>
        <v>5070222600.45</v>
      </c>
      <c r="H9" s="39">
        <f aca="true" t="shared" si="4" ref="H9:H15">G9-C9</f>
        <v>-88595399.55000019</v>
      </c>
      <c r="I9" s="38"/>
      <c r="J9" s="38">
        <f>((10.58-2.87)*6*1490000)+((6.17-2.87)*4*1490000)</f>
        <v>88595400</v>
      </c>
      <c r="K9" s="38">
        <f aca="true" t="shared" si="5" ref="K9:K15">C9+I9-J9</f>
        <v>5070222600</v>
      </c>
      <c r="L9" s="254" t="s">
        <v>344</v>
      </c>
    </row>
    <row r="10" spans="1:12" s="210" customFormat="1" ht="34.5" customHeight="1">
      <c r="A10" s="543" t="s">
        <v>302</v>
      </c>
      <c r="B10" s="510" t="s">
        <v>334</v>
      </c>
      <c r="C10" s="545">
        <f t="shared" si="3"/>
        <v>27000000</v>
      </c>
      <c r="D10" s="545"/>
      <c r="E10" s="545">
        <v>27000000</v>
      </c>
      <c r="F10" s="207"/>
      <c r="G10" s="208">
        <v>11000000</v>
      </c>
      <c r="H10" s="208">
        <f t="shared" si="4"/>
        <v>-16000000</v>
      </c>
      <c r="I10" s="207"/>
      <c r="J10" s="207">
        <v>16000000</v>
      </c>
      <c r="K10" s="207">
        <f t="shared" si="5"/>
        <v>11000000</v>
      </c>
      <c r="L10" s="254"/>
    </row>
    <row r="11" spans="1:12" s="539" customFormat="1" ht="31.5" customHeight="1">
      <c r="A11" s="546" t="s">
        <v>302</v>
      </c>
      <c r="B11" s="535" t="s">
        <v>376</v>
      </c>
      <c r="C11" s="547">
        <f t="shared" si="3"/>
        <v>42300000</v>
      </c>
      <c r="D11" s="547"/>
      <c r="E11" s="547">
        <v>42300000</v>
      </c>
      <c r="F11" s="536"/>
      <c r="G11" s="537">
        <v>50300000</v>
      </c>
      <c r="H11" s="537">
        <f t="shared" si="4"/>
        <v>8000000</v>
      </c>
      <c r="I11" s="536">
        <f>H11</f>
        <v>8000000</v>
      </c>
      <c r="J11" s="536"/>
      <c r="K11" s="536">
        <f t="shared" si="5"/>
        <v>50300000</v>
      </c>
      <c r="L11" s="538"/>
    </row>
    <row r="12" spans="1:12" s="210" customFormat="1" ht="31.5" customHeight="1">
      <c r="A12" s="543" t="s">
        <v>302</v>
      </c>
      <c r="B12" s="511" t="s">
        <v>361</v>
      </c>
      <c r="C12" s="545">
        <f t="shared" si="3"/>
        <v>0</v>
      </c>
      <c r="D12" s="545"/>
      <c r="E12" s="545"/>
      <c r="F12" s="207"/>
      <c r="G12" s="208">
        <v>8000000</v>
      </c>
      <c r="H12" s="208">
        <f t="shared" si="4"/>
        <v>8000000</v>
      </c>
      <c r="I12" s="207">
        <f>G12</f>
        <v>8000000</v>
      </c>
      <c r="J12" s="207"/>
      <c r="K12" s="207">
        <f t="shared" si="5"/>
        <v>8000000</v>
      </c>
      <c r="L12" s="254"/>
    </row>
    <row r="13" spans="1:12" s="210" customFormat="1" ht="24.75" customHeight="1">
      <c r="A13" s="543" t="s">
        <v>302</v>
      </c>
      <c r="B13" s="512" t="s">
        <v>335</v>
      </c>
      <c r="C13" s="545">
        <f t="shared" si="3"/>
        <v>270000000</v>
      </c>
      <c r="D13" s="545"/>
      <c r="E13" s="545">
        <v>270000000</v>
      </c>
      <c r="F13" s="207"/>
      <c r="G13" s="208">
        <v>228280000</v>
      </c>
      <c r="H13" s="208">
        <f t="shared" si="4"/>
        <v>-41720000</v>
      </c>
      <c r="I13" s="207"/>
      <c r="J13" s="207">
        <v>41720000</v>
      </c>
      <c r="K13" s="207">
        <f t="shared" si="5"/>
        <v>228280000</v>
      </c>
      <c r="L13" s="254"/>
    </row>
    <row r="14" spans="1:12" s="210" customFormat="1" ht="38.25" customHeight="1">
      <c r="A14" s="543" t="s">
        <v>302</v>
      </c>
      <c r="B14" s="513" t="s">
        <v>336</v>
      </c>
      <c r="C14" s="545">
        <f t="shared" si="3"/>
        <v>0</v>
      </c>
      <c r="D14" s="545"/>
      <c r="E14" s="545"/>
      <c r="F14" s="207"/>
      <c r="G14" s="208">
        <v>41720000</v>
      </c>
      <c r="H14" s="208">
        <f t="shared" si="4"/>
        <v>41720000</v>
      </c>
      <c r="I14" s="207">
        <f>H14</f>
        <v>41720000</v>
      </c>
      <c r="J14" s="207"/>
      <c r="K14" s="207">
        <f t="shared" si="5"/>
        <v>41720000</v>
      </c>
      <c r="L14" s="254"/>
    </row>
    <row r="15" spans="1:14" s="41" customFormat="1" ht="37.5" customHeight="1">
      <c r="A15" s="543" t="s">
        <v>302</v>
      </c>
      <c r="B15" s="499" t="s">
        <v>360</v>
      </c>
      <c r="C15" s="545">
        <f>E15+F15</f>
        <v>270000000</v>
      </c>
      <c r="D15" s="545"/>
      <c r="E15" s="545">
        <v>135000000</v>
      </c>
      <c r="F15" s="38">
        <v>135000000</v>
      </c>
      <c r="G15" s="39">
        <v>135000000</v>
      </c>
      <c r="H15" s="39">
        <f t="shared" si="4"/>
        <v>-135000000</v>
      </c>
      <c r="I15" s="38"/>
      <c r="J15" s="38">
        <v>135000000</v>
      </c>
      <c r="K15" s="38">
        <f t="shared" si="5"/>
        <v>135000000</v>
      </c>
      <c r="L15" s="527"/>
      <c r="N15" s="41" t="s">
        <v>342</v>
      </c>
    </row>
    <row r="16" spans="1:16" s="265" customFormat="1" ht="28.5" customHeight="1">
      <c r="A16" s="548">
        <v>2</v>
      </c>
      <c r="B16" s="542" t="s">
        <v>375</v>
      </c>
      <c r="C16" s="549">
        <f aca="true" t="shared" si="6" ref="C16:K16">C17</f>
        <v>718680000</v>
      </c>
      <c r="D16" s="549"/>
      <c r="E16" s="549">
        <f t="shared" si="6"/>
        <v>718680000</v>
      </c>
      <c r="F16" s="549">
        <f t="shared" si="6"/>
        <v>0</v>
      </c>
      <c r="G16" s="549">
        <f>G17</f>
        <v>696700160</v>
      </c>
      <c r="H16" s="549">
        <f t="shared" si="6"/>
        <v>-21979840</v>
      </c>
      <c r="I16" s="549">
        <f t="shared" si="6"/>
        <v>0</v>
      </c>
      <c r="J16" s="549">
        <f t="shared" si="6"/>
        <v>21979840</v>
      </c>
      <c r="K16" s="549">
        <f t="shared" si="6"/>
        <v>696700160</v>
      </c>
      <c r="L16" s="264"/>
      <c r="P16" s="265" t="s">
        <v>345</v>
      </c>
    </row>
    <row r="17" spans="1:12" s="41" customFormat="1" ht="45">
      <c r="A17" s="543" t="s">
        <v>302</v>
      </c>
      <c r="B17" s="544" t="s">
        <v>303</v>
      </c>
      <c r="C17" s="545">
        <f>E17+F17</f>
        <v>718680000</v>
      </c>
      <c r="D17" s="545"/>
      <c r="E17" s="38">
        <v>718680000</v>
      </c>
      <c r="F17" s="38"/>
      <c r="G17" s="39">
        <f>'Chi tiết'!W138</f>
        <v>696700160</v>
      </c>
      <c r="H17" s="208">
        <f>G17-C17</f>
        <v>-21979840</v>
      </c>
      <c r="I17" s="38"/>
      <c r="J17" s="38">
        <f>-H17</f>
        <v>21979840</v>
      </c>
      <c r="K17" s="207">
        <f>C17+I17-J17</f>
        <v>696700160</v>
      </c>
      <c r="L17" s="509" t="s">
        <v>366</v>
      </c>
    </row>
    <row r="18" spans="1:12" s="9" customFormat="1" ht="14.25">
      <c r="A18" s="540">
        <v>3</v>
      </c>
      <c r="B18" s="542" t="s">
        <v>7</v>
      </c>
      <c r="C18" s="549">
        <f>C19+C20+C21</f>
        <v>379148000</v>
      </c>
      <c r="D18" s="549"/>
      <c r="E18" s="549">
        <f aca="true" t="shared" si="7" ref="E18:J18">E19+E20+E21</f>
        <v>379148000</v>
      </c>
      <c r="F18" s="549">
        <f t="shared" si="7"/>
        <v>0</v>
      </c>
      <c r="G18" s="549">
        <f>G19+G20+G21</f>
        <v>358629582</v>
      </c>
      <c r="H18" s="549">
        <f t="shared" si="7"/>
        <v>-20518418</v>
      </c>
      <c r="I18" s="549">
        <f t="shared" si="7"/>
        <v>5400000</v>
      </c>
      <c r="J18" s="549">
        <f t="shared" si="7"/>
        <v>25918417.499999996</v>
      </c>
      <c r="K18" s="549">
        <f>K19+K20+K21</f>
        <v>358629581.5</v>
      </c>
      <c r="L18" s="257"/>
    </row>
    <row r="19" spans="1:12" s="41" customFormat="1" ht="45">
      <c r="A19" s="543" t="s">
        <v>302</v>
      </c>
      <c r="B19" s="544" t="s">
        <v>303</v>
      </c>
      <c r="C19" s="545">
        <f>E19+F19</f>
        <v>349202000</v>
      </c>
      <c r="D19" s="545"/>
      <c r="E19" s="38">
        <v>349202000</v>
      </c>
      <c r="F19" s="38"/>
      <c r="G19" s="39">
        <f>'Chi tiết'!W153+51021337</f>
        <v>328683582</v>
      </c>
      <c r="H19" s="208">
        <f>G19-C19</f>
        <v>-20518418</v>
      </c>
      <c r="I19" s="38"/>
      <c r="J19" s="38">
        <f>('Chi tiết'!D158-'Chi tiết'!D157)*1490000*3</f>
        <v>20518417.499999996</v>
      </c>
      <c r="K19" s="207">
        <f>C19+I19-J19-1</f>
        <v>328683581.5</v>
      </c>
      <c r="L19" s="509" t="s">
        <v>367</v>
      </c>
    </row>
    <row r="20" spans="1:12" s="41" customFormat="1" ht="30">
      <c r="A20" s="543" t="s">
        <v>302</v>
      </c>
      <c r="B20" s="544" t="s">
        <v>347</v>
      </c>
      <c r="C20" s="545">
        <f>E20+F20</f>
        <v>5400000</v>
      </c>
      <c r="D20" s="545"/>
      <c r="E20" s="38">
        <v>5400000</v>
      </c>
      <c r="F20" s="38"/>
      <c r="G20" s="39"/>
      <c r="H20" s="208"/>
      <c r="I20" s="38"/>
      <c r="J20" s="38">
        <f>E20</f>
        <v>5400000</v>
      </c>
      <c r="K20" s="207">
        <f>C20+I20-J20</f>
        <v>0</v>
      </c>
      <c r="L20" s="40"/>
    </row>
    <row r="21" spans="1:12" s="41" customFormat="1" ht="30">
      <c r="A21" s="543" t="s">
        <v>302</v>
      </c>
      <c r="B21" s="544" t="s">
        <v>348</v>
      </c>
      <c r="C21" s="545">
        <f>E21+F21</f>
        <v>24546000</v>
      </c>
      <c r="D21" s="545"/>
      <c r="E21" s="38">
        <v>24546000</v>
      </c>
      <c r="F21" s="38"/>
      <c r="G21" s="39">
        <f>E21+J20</f>
        <v>29946000</v>
      </c>
      <c r="H21" s="208"/>
      <c r="I21" s="38">
        <f>J20</f>
        <v>5400000</v>
      </c>
      <c r="J21" s="38"/>
      <c r="K21" s="207">
        <f>C21+I21-J21</f>
        <v>29946000</v>
      </c>
      <c r="L21" s="40"/>
    </row>
    <row r="22" spans="1:12" s="263" customFormat="1" ht="14.25">
      <c r="A22" s="540">
        <v>4</v>
      </c>
      <c r="B22" s="542" t="s">
        <v>8</v>
      </c>
      <c r="C22" s="549">
        <f aca="true" t="shared" si="8" ref="C22:K22">C23+C24+C25</f>
        <v>346483000</v>
      </c>
      <c r="D22" s="549"/>
      <c r="E22" s="549">
        <f t="shared" si="8"/>
        <v>346483000</v>
      </c>
      <c r="F22" s="549">
        <f t="shared" si="8"/>
        <v>0</v>
      </c>
      <c r="G22" s="549">
        <f>G23+G24+G25</f>
        <v>307133000</v>
      </c>
      <c r="H22" s="549">
        <f t="shared" si="8"/>
        <v>-39350000</v>
      </c>
      <c r="I22" s="549">
        <f t="shared" si="8"/>
        <v>9000000</v>
      </c>
      <c r="J22" s="549">
        <f t="shared" si="8"/>
        <v>48350000</v>
      </c>
      <c r="K22" s="549">
        <f t="shared" si="8"/>
        <v>307133000</v>
      </c>
      <c r="L22" s="262"/>
    </row>
    <row r="23" spans="1:14" s="41" customFormat="1" ht="60">
      <c r="A23" s="543" t="s">
        <v>302</v>
      </c>
      <c r="B23" s="544" t="s">
        <v>303</v>
      </c>
      <c r="C23" s="545">
        <f>E23+F23</f>
        <v>328483000</v>
      </c>
      <c r="D23" s="545"/>
      <c r="E23" s="38">
        <v>328483000</v>
      </c>
      <c r="F23" s="38"/>
      <c r="G23" s="39">
        <f>'Chi tiết'!W147+5577.5</f>
        <v>289133000</v>
      </c>
      <c r="H23" s="208">
        <f>G23-C23</f>
        <v>-39350000</v>
      </c>
      <c r="I23" s="38"/>
      <c r="J23" s="38">
        <f>39350000</f>
        <v>39350000</v>
      </c>
      <c r="K23" s="38">
        <f>C23+I23-J23</f>
        <v>289133000</v>
      </c>
      <c r="L23" s="509" t="s">
        <v>338</v>
      </c>
      <c r="N23" s="41">
        <f>24546+5400</f>
        <v>29946</v>
      </c>
    </row>
    <row r="24" spans="1:12" s="41" customFormat="1" ht="30">
      <c r="A24" s="543" t="s">
        <v>302</v>
      </c>
      <c r="B24" s="544" t="s">
        <v>327</v>
      </c>
      <c r="C24" s="545">
        <f>E24+F24</f>
        <v>18000000</v>
      </c>
      <c r="D24" s="545"/>
      <c r="E24" s="38">
        <v>18000000</v>
      </c>
      <c r="F24" s="38"/>
      <c r="G24" s="39">
        <f>E24-9000000</f>
        <v>9000000</v>
      </c>
      <c r="H24" s="208">
        <f>G24-C24</f>
        <v>-9000000</v>
      </c>
      <c r="I24" s="38"/>
      <c r="J24" s="38">
        <v>9000000</v>
      </c>
      <c r="K24" s="207">
        <f>C24+I24-J24</f>
        <v>9000000</v>
      </c>
      <c r="L24" s="40"/>
    </row>
    <row r="25" spans="1:12" s="41" customFormat="1" ht="45">
      <c r="A25" s="543" t="s">
        <v>302</v>
      </c>
      <c r="B25" s="544" t="s">
        <v>328</v>
      </c>
      <c r="C25" s="545">
        <f>E25+F25</f>
        <v>0</v>
      </c>
      <c r="D25" s="545"/>
      <c r="E25" s="38"/>
      <c r="F25" s="38"/>
      <c r="G25" s="39">
        <v>9000000</v>
      </c>
      <c r="H25" s="208">
        <f>G25-C25</f>
        <v>9000000</v>
      </c>
      <c r="I25" s="38">
        <v>9000000</v>
      </c>
      <c r="J25" s="38"/>
      <c r="K25" s="207">
        <f>C25+I25-J25</f>
        <v>9000000</v>
      </c>
      <c r="L25" s="40"/>
    </row>
    <row r="26" spans="1:12" s="9" customFormat="1" ht="14.25">
      <c r="A26" s="540">
        <v>5</v>
      </c>
      <c r="B26" s="542" t="s">
        <v>9</v>
      </c>
      <c r="C26" s="549">
        <f aca="true" t="shared" si="9" ref="C26:K26">C27</f>
        <v>308563000</v>
      </c>
      <c r="D26" s="549"/>
      <c r="E26" s="549">
        <f t="shared" si="9"/>
        <v>308563000</v>
      </c>
      <c r="F26" s="549">
        <f t="shared" si="9"/>
        <v>0</v>
      </c>
      <c r="G26" s="549">
        <f t="shared" si="9"/>
        <v>251703000.00000003</v>
      </c>
      <c r="H26" s="549">
        <f t="shared" si="9"/>
        <v>-56859999.99999997</v>
      </c>
      <c r="I26" s="549">
        <f t="shared" si="9"/>
        <v>0</v>
      </c>
      <c r="J26" s="549">
        <f t="shared" si="9"/>
        <v>56860000</v>
      </c>
      <c r="K26" s="549">
        <f t="shared" si="9"/>
        <v>251703000</v>
      </c>
      <c r="L26" s="257"/>
    </row>
    <row r="27" spans="1:12" s="41" customFormat="1" ht="30">
      <c r="A27" s="543" t="s">
        <v>302</v>
      </c>
      <c r="B27" s="544" t="s">
        <v>303</v>
      </c>
      <c r="C27" s="545">
        <f>E27+F27</f>
        <v>308563000</v>
      </c>
      <c r="D27" s="545"/>
      <c r="E27" s="38">
        <v>308563000</v>
      </c>
      <c r="F27" s="38"/>
      <c r="G27" s="39">
        <f>'Chi tiết'!W144+6240</f>
        <v>251703000.00000003</v>
      </c>
      <c r="H27" s="208">
        <f>G27-C27</f>
        <v>-56859999.99999997</v>
      </c>
      <c r="I27" s="38"/>
      <c r="J27" s="38">
        <f>56860000</f>
        <v>56860000</v>
      </c>
      <c r="K27" s="38">
        <f>C27+I27-J27</f>
        <v>251703000</v>
      </c>
      <c r="L27" s="40"/>
    </row>
    <row r="28" spans="1:12" s="9" customFormat="1" ht="14.25">
      <c r="A28" s="540">
        <v>6</v>
      </c>
      <c r="B28" s="542" t="s">
        <v>26</v>
      </c>
      <c r="C28" s="549">
        <f aca="true" t="shared" si="10" ref="C28:K28">C29</f>
        <v>160174000</v>
      </c>
      <c r="D28" s="549"/>
      <c r="E28" s="549">
        <f t="shared" si="10"/>
        <v>160174000</v>
      </c>
      <c r="F28" s="549">
        <f t="shared" si="10"/>
        <v>0</v>
      </c>
      <c r="G28" s="549">
        <f t="shared" si="10"/>
        <v>160174000.00000003</v>
      </c>
      <c r="H28" s="549">
        <f t="shared" si="10"/>
        <v>0</v>
      </c>
      <c r="I28" s="549">
        <f t="shared" si="10"/>
        <v>0</v>
      </c>
      <c r="J28" s="549">
        <f t="shared" si="10"/>
        <v>0</v>
      </c>
      <c r="K28" s="549">
        <f t="shared" si="10"/>
        <v>160174000</v>
      </c>
      <c r="L28" s="257"/>
    </row>
    <row r="29" spans="1:12" s="41" customFormat="1" ht="30">
      <c r="A29" s="543" t="s">
        <v>302</v>
      </c>
      <c r="B29" s="544" t="s">
        <v>303</v>
      </c>
      <c r="C29" s="545">
        <f>E29+F29</f>
        <v>160174000</v>
      </c>
      <c r="D29" s="545"/>
      <c r="E29" s="38">
        <v>160174000</v>
      </c>
      <c r="F29" s="38"/>
      <c r="G29" s="39">
        <f>'Chi tiết'!W151+490</f>
        <v>160174000.00000003</v>
      </c>
      <c r="H29" s="208">
        <f>G29-C29</f>
        <v>0</v>
      </c>
      <c r="I29" s="38"/>
      <c r="J29" s="38"/>
      <c r="K29" s="207">
        <f>C29+I29-J29</f>
        <v>160174000</v>
      </c>
      <c r="L29" s="40"/>
    </row>
    <row r="30" spans="1:13" s="9" customFormat="1" ht="33" customHeight="1">
      <c r="A30" s="540">
        <v>7</v>
      </c>
      <c r="B30" s="542" t="s">
        <v>27</v>
      </c>
      <c r="C30" s="549">
        <f aca="true" t="shared" si="11" ref="C30:K30">C31+C32</f>
        <v>1605744000</v>
      </c>
      <c r="D30" s="549"/>
      <c r="E30" s="549">
        <f t="shared" si="11"/>
        <v>1605744000</v>
      </c>
      <c r="F30" s="549">
        <f t="shared" si="11"/>
        <v>0</v>
      </c>
      <c r="G30" s="549">
        <f t="shared" si="11"/>
        <v>1523416000</v>
      </c>
      <c r="H30" s="549">
        <f t="shared" si="11"/>
        <v>-82328000</v>
      </c>
      <c r="I30" s="549">
        <f>I31+I32</f>
        <v>19072000</v>
      </c>
      <c r="J30" s="549">
        <f t="shared" si="11"/>
        <v>82328000</v>
      </c>
      <c r="K30" s="549">
        <f t="shared" si="11"/>
        <v>1542488000</v>
      </c>
      <c r="L30" s="257"/>
      <c r="M30" s="514">
        <f>J31-I32</f>
        <v>63256000</v>
      </c>
    </row>
    <row r="31" spans="1:12" s="41" customFormat="1" ht="79.5" customHeight="1">
      <c r="A31" s="543" t="s">
        <v>302</v>
      </c>
      <c r="B31" s="544" t="s">
        <v>303</v>
      </c>
      <c r="C31" s="545">
        <f>E31+F31</f>
        <v>1426944000</v>
      </c>
      <c r="D31" s="545"/>
      <c r="E31" s="38">
        <f>1426944000</f>
        <v>1426944000</v>
      </c>
      <c r="F31" s="266"/>
      <c r="G31" s="39">
        <f>'Chi tiết'!W39+36847.5</f>
        <v>1325544000</v>
      </c>
      <c r="H31" s="208">
        <f>G31-C31</f>
        <v>-101400000</v>
      </c>
      <c r="I31" s="38"/>
      <c r="J31" s="38">
        <f>101400000-I32</f>
        <v>82328000</v>
      </c>
      <c r="K31" s="38">
        <f>C31+I31-J31</f>
        <v>1344616000</v>
      </c>
      <c r="L31" s="509" t="s">
        <v>337</v>
      </c>
    </row>
    <row r="32" spans="1:12" s="41" customFormat="1" ht="39" customHeight="1">
      <c r="A32" s="543" t="s">
        <v>302</v>
      </c>
      <c r="B32" s="544" t="s">
        <v>304</v>
      </c>
      <c r="C32" s="545">
        <f>E32+F32</f>
        <v>178800000</v>
      </c>
      <c r="D32" s="545"/>
      <c r="E32" s="38">
        <v>178800000</v>
      </c>
      <c r="F32" s="266"/>
      <c r="G32" s="39">
        <v>197872000</v>
      </c>
      <c r="H32" s="208">
        <f>G32-C32</f>
        <v>19072000</v>
      </c>
      <c r="I32" s="38">
        <f>H32</f>
        <v>19072000</v>
      </c>
      <c r="J32" s="38"/>
      <c r="K32" s="207">
        <f>C32+I32-J32</f>
        <v>197872000</v>
      </c>
      <c r="L32" s="40"/>
    </row>
    <row r="33" spans="1:12" s="9" customFormat="1" ht="14.25">
      <c r="A33" s="540">
        <v>8</v>
      </c>
      <c r="B33" s="541" t="s">
        <v>10</v>
      </c>
      <c r="C33" s="549">
        <f aca="true" t="shared" si="12" ref="C33:K33">C34</f>
        <v>615632000</v>
      </c>
      <c r="D33" s="549"/>
      <c r="E33" s="549">
        <f t="shared" si="12"/>
        <v>615632000</v>
      </c>
      <c r="F33" s="549">
        <f t="shared" si="12"/>
        <v>0</v>
      </c>
      <c r="G33" s="549">
        <f t="shared" si="12"/>
        <v>760617000</v>
      </c>
      <c r="H33" s="549">
        <f t="shared" si="12"/>
        <v>144985000</v>
      </c>
      <c r="I33" s="549">
        <f>I34</f>
        <v>169845207.25</v>
      </c>
      <c r="J33" s="549">
        <f t="shared" si="12"/>
        <v>0</v>
      </c>
      <c r="K33" s="549">
        <f t="shared" si="12"/>
        <v>785477207.25</v>
      </c>
      <c r="L33" s="257"/>
    </row>
    <row r="34" spans="1:12" s="41" customFormat="1" ht="60">
      <c r="A34" s="543"/>
      <c r="B34" s="544" t="s">
        <v>303</v>
      </c>
      <c r="C34" s="545">
        <f>E34+F34</f>
        <v>615632000</v>
      </c>
      <c r="D34" s="545"/>
      <c r="E34" s="38">
        <v>615632000</v>
      </c>
      <c r="F34" s="266"/>
      <c r="G34" s="39">
        <f>'Chi tiết'!W55+3290</f>
        <v>760617000</v>
      </c>
      <c r="H34" s="208">
        <f>G34-C34</f>
        <v>144985000</v>
      </c>
      <c r="I34" s="38">
        <f>144985000+(198881658/8)*1</f>
        <v>169845207.25</v>
      </c>
      <c r="J34" s="38"/>
      <c r="K34" s="207">
        <f>C34+I34-J34</f>
        <v>785477207.25</v>
      </c>
      <c r="L34" s="509" t="s">
        <v>355</v>
      </c>
    </row>
    <row r="35" spans="1:13" s="9" customFormat="1" ht="14.25">
      <c r="A35" s="540">
        <v>9</v>
      </c>
      <c r="B35" s="541" t="s">
        <v>374</v>
      </c>
      <c r="C35" s="549">
        <f>SUM(C36:C44)</f>
        <v>5713522000</v>
      </c>
      <c r="D35" s="549">
        <f>SUM(D36:D44)</f>
        <v>4767475000</v>
      </c>
      <c r="E35" s="549">
        <f>SUM(E36:E44)</f>
        <v>946047000</v>
      </c>
      <c r="F35" s="549">
        <f>SUM(F36:F44)</f>
        <v>0</v>
      </c>
      <c r="G35" s="549">
        <f aca="true" t="shared" si="13" ref="G35:L35">SUM(G36:G44)</f>
        <v>5730808000</v>
      </c>
      <c r="H35" s="549">
        <f t="shared" si="13"/>
        <v>17286000</v>
      </c>
      <c r="I35" s="549">
        <f>SUM(I36:I44)</f>
        <v>2945104207.25</v>
      </c>
      <c r="J35" s="549">
        <f>SUM(J36:J44)</f>
        <v>2902958000</v>
      </c>
      <c r="K35" s="549">
        <f t="shared" si="13"/>
        <v>5755668207.25</v>
      </c>
      <c r="L35" s="549">
        <f t="shared" si="13"/>
        <v>0</v>
      </c>
      <c r="M35" s="515">
        <f>C35-K35</f>
        <v>-42146207.25</v>
      </c>
    </row>
    <row r="36" spans="1:13" s="41" customFormat="1" ht="120">
      <c r="A36" s="543" t="s">
        <v>302</v>
      </c>
      <c r="B36" s="550" t="s">
        <v>303</v>
      </c>
      <c r="C36" s="545">
        <f>E36+F36</f>
        <v>785847000</v>
      </c>
      <c r="D36" s="545"/>
      <c r="E36" s="38">
        <v>785847000</v>
      </c>
      <c r="F36" s="38"/>
      <c r="G36" s="39">
        <f>'Chi tiết'!W63+32305575</f>
        <v>758133000</v>
      </c>
      <c r="H36" s="39">
        <f>G36-C36</f>
        <v>-27714000</v>
      </c>
      <c r="I36" s="38">
        <f>(198881658/8)*1</f>
        <v>24860207.25</v>
      </c>
      <c r="J36" s="38">
        <f>(5.97-2.87)*6*1490000</f>
        <v>27713999.999999996</v>
      </c>
      <c r="K36" s="38">
        <f>C36+I36-J36</f>
        <v>782993207.25</v>
      </c>
      <c r="L36" s="509" t="s">
        <v>346</v>
      </c>
      <c r="M36" s="530">
        <f>C36-K36</f>
        <v>2853792.75</v>
      </c>
    </row>
    <row r="37" spans="1:12" s="41" customFormat="1" ht="60">
      <c r="A37" s="551" t="s">
        <v>302</v>
      </c>
      <c r="B37" s="552" t="s">
        <v>377</v>
      </c>
      <c r="C37" s="545">
        <f>E37+F37</f>
        <v>90000000</v>
      </c>
      <c r="D37" s="545"/>
      <c r="E37" s="38">
        <v>90000000</v>
      </c>
      <c r="F37" s="38"/>
      <c r="G37" s="39"/>
      <c r="H37" s="39">
        <f>G37-C37</f>
        <v>-90000000</v>
      </c>
      <c r="I37" s="38"/>
      <c r="J37" s="38">
        <v>90000000</v>
      </c>
      <c r="K37" s="38">
        <f>C37+I37-J37</f>
        <v>0</v>
      </c>
      <c r="L37" s="40"/>
    </row>
    <row r="38" spans="1:13" s="41" customFormat="1" ht="30.75" customHeight="1">
      <c r="A38" s="551" t="s">
        <v>302</v>
      </c>
      <c r="B38" s="552" t="s">
        <v>350</v>
      </c>
      <c r="C38" s="545">
        <f>D38+E38+F38</f>
        <v>70200000</v>
      </c>
      <c r="D38" s="545"/>
      <c r="E38" s="38">
        <v>70200000</v>
      </c>
      <c r="F38" s="38"/>
      <c r="G38" s="39">
        <f>52431000</f>
        <v>52431000</v>
      </c>
      <c r="H38" s="208"/>
      <c r="I38" s="38"/>
      <c r="J38" s="38">
        <f>C38-G38</f>
        <v>17769000</v>
      </c>
      <c r="K38" s="207">
        <f>C38+I38-J38</f>
        <v>52431000</v>
      </c>
      <c r="L38" s="40"/>
      <c r="M38" s="41" t="s">
        <v>332</v>
      </c>
    </row>
    <row r="39" spans="1:12" s="41" customFormat="1" ht="60">
      <c r="A39" s="551" t="s">
        <v>302</v>
      </c>
      <c r="B39" s="553" t="s">
        <v>329</v>
      </c>
      <c r="C39" s="545">
        <f>E39+F39</f>
        <v>0</v>
      </c>
      <c r="D39" s="545"/>
      <c r="E39" s="38"/>
      <c r="F39" s="38"/>
      <c r="G39" s="39">
        <v>11405000</v>
      </c>
      <c r="H39" s="39">
        <f>G39-C39</f>
        <v>11405000</v>
      </c>
      <c r="I39" s="38">
        <f>+H39</f>
        <v>11405000</v>
      </c>
      <c r="J39" s="38"/>
      <c r="K39" s="207">
        <f>C39+I39-J39</f>
        <v>11405000</v>
      </c>
      <c r="L39" s="40"/>
    </row>
    <row r="40" spans="1:12" s="41" customFormat="1" ht="45">
      <c r="A40" s="543" t="s">
        <v>302</v>
      </c>
      <c r="B40" s="554" t="s">
        <v>378</v>
      </c>
      <c r="C40" s="545">
        <f>E40+F40</f>
        <v>0</v>
      </c>
      <c r="D40" s="545"/>
      <c r="E40" s="38"/>
      <c r="F40" s="38"/>
      <c r="G40" s="39">
        <f>J37-I39+135000000-40000000-50000000</f>
        <v>123595000</v>
      </c>
      <c r="H40" s="39">
        <f>G40-C40</f>
        <v>123595000</v>
      </c>
      <c r="I40" s="38">
        <f>H40</f>
        <v>123595000</v>
      </c>
      <c r="J40" s="38"/>
      <c r="K40" s="38">
        <f>C40+I40-J40</f>
        <v>123595000</v>
      </c>
      <c r="L40" s="40"/>
    </row>
    <row r="41" spans="1:13" s="41" customFormat="1" ht="75">
      <c r="A41" s="543" t="s">
        <v>302</v>
      </c>
      <c r="B41" s="555" t="s">
        <v>351</v>
      </c>
      <c r="C41" s="545">
        <f>E41+F41+D41</f>
        <v>4767475000</v>
      </c>
      <c r="D41" s="545">
        <v>4767475000</v>
      </c>
      <c r="E41" s="38"/>
      <c r="F41" s="38"/>
      <c r="G41" s="39">
        <v>2000000000</v>
      </c>
      <c r="H41" s="39"/>
      <c r="I41" s="38" t="s">
        <v>362</v>
      </c>
      <c r="J41" s="38">
        <f>D41-G41</f>
        <v>2767475000</v>
      </c>
      <c r="K41" s="38">
        <f>C41-J41</f>
        <v>2000000000</v>
      </c>
      <c r="L41" s="40"/>
      <c r="M41" s="530"/>
    </row>
    <row r="42" spans="1:12" s="41" customFormat="1" ht="15">
      <c r="A42" s="543" t="s">
        <v>302</v>
      </c>
      <c r="B42" s="553" t="s">
        <v>352</v>
      </c>
      <c r="C42" s="545">
        <f>E42+F42+D42</f>
        <v>0</v>
      </c>
      <c r="D42" s="545"/>
      <c r="E42" s="38"/>
      <c r="F42" s="38"/>
      <c r="G42" s="39">
        <v>147185000</v>
      </c>
      <c r="H42" s="39"/>
      <c r="I42" s="38">
        <f>G42</f>
        <v>147185000</v>
      </c>
      <c r="J42" s="38"/>
      <c r="K42" s="38">
        <f>C42+I42-J42</f>
        <v>147185000</v>
      </c>
      <c r="L42" s="40"/>
    </row>
    <row r="43" spans="1:12" s="41" customFormat="1" ht="15">
      <c r="A43" s="543" t="s">
        <v>302</v>
      </c>
      <c r="B43" s="553" t="s">
        <v>353</v>
      </c>
      <c r="C43" s="545">
        <f>E43+F43+D43</f>
        <v>0</v>
      </c>
      <c r="D43" s="545"/>
      <c r="E43" s="38"/>
      <c r="F43" s="38"/>
      <c r="G43" s="39">
        <v>250000000</v>
      </c>
      <c r="H43" s="39"/>
      <c r="I43" s="38">
        <f>G43</f>
        <v>250000000</v>
      </c>
      <c r="J43" s="38"/>
      <c r="K43" s="38">
        <f>C43+I43-J43</f>
        <v>250000000</v>
      </c>
      <c r="L43" s="40"/>
    </row>
    <row r="44" spans="1:12" s="41" customFormat="1" ht="30">
      <c r="A44" s="543" t="s">
        <v>302</v>
      </c>
      <c r="B44" s="553" t="s">
        <v>354</v>
      </c>
      <c r="C44" s="545">
        <f>E44+F44+D44</f>
        <v>0</v>
      </c>
      <c r="D44" s="545"/>
      <c r="E44" s="38"/>
      <c r="F44" s="38"/>
      <c r="G44" s="39">
        <v>2388059000</v>
      </c>
      <c r="H44" s="39"/>
      <c r="I44" s="38">
        <f>G44</f>
        <v>2388059000</v>
      </c>
      <c r="J44" s="38"/>
      <c r="K44" s="38">
        <f>C44+I44-J44</f>
        <v>2388059000</v>
      </c>
      <c r="L44" s="40"/>
    </row>
    <row r="45" spans="1:12" s="9" customFormat="1" ht="14.25">
      <c r="A45" s="540">
        <v>10</v>
      </c>
      <c r="B45" s="541" t="s">
        <v>11</v>
      </c>
      <c r="C45" s="549">
        <f>C46+C47+C48</f>
        <v>685410000</v>
      </c>
      <c r="D45" s="549"/>
      <c r="E45" s="549">
        <f aca="true" t="shared" si="14" ref="E45:K45">E46+E47+E48</f>
        <v>685410000</v>
      </c>
      <c r="F45" s="549">
        <f t="shared" si="14"/>
        <v>0</v>
      </c>
      <c r="G45" s="549">
        <f t="shared" si="14"/>
        <v>698935000</v>
      </c>
      <c r="H45" s="549">
        <f t="shared" si="14"/>
        <v>13525000</v>
      </c>
      <c r="I45" s="549">
        <f t="shared" si="14"/>
        <v>91245414.5</v>
      </c>
      <c r="J45" s="549">
        <f t="shared" si="14"/>
        <v>28000000</v>
      </c>
      <c r="K45" s="549">
        <f t="shared" si="14"/>
        <v>748655414.5</v>
      </c>
      <c r="L45" s="257"/>
    </row>
    <row r="46" spans="1:12" s="210" customFormat="1" ht="60">
      <c r="A46" s="543" t="s">
        <v>302</v>
      </c>
      <c r="B46" s="544" t="s">
        <v>303</v>
      </c>
      <c r="C46" s="545">
        <f>E46+F46</f>
        <v>616682000</v>
      </c>
      <c r="D46" s="545"/>
      <c r="E46" s="207">
        <v>616682000</v>
      </c>
      <c r="F46" s="207"/>
      <c r="G46" s="208">
        <f>'Chi tiết'!W70+2187.5</f>
        <v>630207000</v>
      </c>
      <c r="H46" s="208">
        <f>G46-C46</f>
        <v>13525000</v>
      </c>
      <c r="I46" s="207">
        <f>13525000+(198881658/8)*2</f>
        <v>63245414.5</v>
      </c>
      <c r="J46" s="207"/>
      <c r="K46" s="207">
        <f>C46+I46-J46</f>
        <v>679927414.5</v>
      </c>
      <c r="L46" s="526" t="s">
        <v>356</v>
      </c>
    </row>
    <row r="47" spans="1:12" s="210" customFormat="1" ht="60">
      <c r="A47" s="543" t="s">
        <v>302</v>
      </c>
      <c r="B47" s="544" t="s">
        <v>305</v>
      </c>
      <c r="C47" s="545">
        <f>E47+F47</f>
        <v>32728000</v>
      </c>
      <c r="D47" s="545"/>
      <c r="E47" s="207">
        <v>32728000</v>
      </c>
      <c r="F47" s="207"/>
      <c r="G47" s="208">
        <v>4728000</v>
      </c>
      <c r="H47" s="208">
        <f>G47-C47</f>
        <v>-28000000</v>
      </c>
      <c r="I47" s="207"/>
      <c r="J47" s="207">
        <v>28000000</v>
      </c>
      <c r="K47" s="207">
        <f>C47+I47-J47</f>
        <v>4728000</v>
      </c>
      <c r="L47" s="209"/>
    </row>
    <row r="48" spans="1:12" s="210" customFormat="1" ht="45">
      <c r="A48" s="543" t="s">
        <v>302</v>
      </c>
      <c r="B48" s="544" t="s">
        <v>306</v>
      </c>
      <c r="C48" s="545">
        <f>E48+F48</f>
        <v>36000000</v>
      </c>
      <c r="D48" s="545"/>
      <c r="E48" s="207">
        <v>36000000</v>
      </c>
      <c r="F48" s="207"/>
      <c r="G48" s="208">
        <f>E48+28000000</f>
        <v>64000000</v>
      </c>
      <c r="H48" s="208">
        <f>G48-C48</f>
        <v>28000000</v>
      </c>
      <c r="I48" s="207">
        <f>H48</f>
        <v>28000000</v>
      </c>
      <c r="J48" s="207"/>
      <c r="K48" s="207">
        <f>C48+I48-J48</f>
        <v>64000000</v>
      </c>
      <c r="L48" s="209"/>
    </row>
    <row r="49" spans="1:12" s="9" customFormat="1" ht="14.25">
      <c r="A49" s="540">
        <v>11</v>
      </c>
      <c r="B49" s="541" t="s">
        <v>372</v>
      </c>
      <c r="C49" s="549">
        <f aca="true" t="shared" si="15" ref="C49:K49">C50</f>
        <v>712693000</v>
      </c>
      <c r="D49" s="549"/>
      <c r="E49" s="549">
        <f t="shared" si="15"/>
        <v>712693000</v>
      </c>
      <c r="F49" s="549">
        <f t="shared" si="15"/>
        <v>0</v>
      </c>
      <c r="G49" s="549">
        <f t="shared" si="15"/>
        <v>712693000</v>
      </c>
      <c r="H49" s="549">
        <f t="shared" si="15"/>
        <v>0</v>
      </c>
      <c r="I49" s="549">
        <f t="shared" si="15"/>
        <v>24860207.25</v>
      </c>
      <c r="J49" s="549">
        <f t="shared" si="15"/>
        <v>0</v>
      </c>
      <c r="K49" s="549">
        <f t="shared" si="15"/>
        <v>737553207.25</v>
      </c>
      <c r="L49" s="257"/>
    </row>
    <row r="50" spans="1:12" s="210" customFormat="1" ht="60">
      <c r="A50" s="543"/>
      <c r="B50" s="544" t="s">
        <v>303</v>
      </c>
      <c r="C50" s="545">
        <f>E50+F50</f>
        <v>712693000</v>
      </c>
      <c r="D50" s="545"/>
      <c r="E50" s="207">
        <v>712693000</v>
      </c>
      <c r="F50" s="207"/>
      <c r="G50" s="208">
        <f>'Chi tiết'!W86+670</f>
        <v>712693000</v>
      </c>
      <c r="H50" s="208">
        <f>G50-C50</f>
        <v>0</v>
      </c>
      <c r="I50" s="207">
        <f>(198881658/8)*1</f>
        <v>24860207.25</v>
      </c>
      <c r="J50" s="207"/>
      <c r="K50" s="207">
        <f>C50+I50-J50</f>
        <v>737553207.25</v>
      </c>
      <c r="L50" s="526" t="s">
        <v>355</v>
      </c>
    </row>
    <row r="51" spans="1:12" s="9" customFormat="1" ht="14.25">
      <c r="A51" s="540">
        <v>12</v>
      </c>
      <c r="B51" s="541" t="s">
        <v>12</v>
      </c>
      <c r="C51" s="549">
        <f>SUM(C52:C54)</f>
        <v>171648000</v>
      </c>
      <c r="D51" s="549">
        <f aca="true" t="shared" si="16" ref="D51:K51">SUM(D52:D54)</f>
        <v>0</v>
      </c>
      <c r="E51" s="549">
        <f t="shared" si="16"/>
        <v>165118000</v>
      </c>
      <c r="F51" s="549">
        <f t="shared" si="16"/>
        <v>6530000</v>
      </c>
      <c r="G51" s="549">
        <f t="shared" si="16"/>
        <v>174593000</v>
      </c>
      <c r="H51" s="549">
        <f t="shared" si="16"/>
        <v>2945000</v>
      </c>
      <c r="I51" s="549">
        <f t="shared" si="16"/>
        <v>29275207.25</v>
      </c>
      <c r="J51" s="549">
        <f t="shared" si="16"/>
        <v>1470000</v>
      </c>
      <c r="K51" s="549">
        <f t="shared" si="16"/>
        <v>199453207.25</v>
      </c>
      <c r="L51" s="257"/>
    </row>
    <row r="52" spans="1:12" s="210" customFormat="1" ht="60">
      <c r="A52" s="543" t="s">
        <v>302</v>
      </c>
      <c r="B52" s="544" t="s">
        <v>303</v>
      </c>
      <c r="C52" s="545">
        <f>E52+F52+D52</f>
        <v>165118000</v>
      </c>
      <c r="D52" s="545"/>
      <c r="E52" s="207">
        <v>165118000</v>
      </c>
      <c r="F52" s="207"/>
      <c r="G52" s="208">
        <f>'Chi tiết'!W82+2920</f>
        <v>168063000</v>
      </c>
      <c r="H52" s="208">
        <f>G52-C52</f>
        <v>2945000</v>
      </c>
      <c r="I52" s="207">
        <f>2945000+(198881658/8)*1</f>
        <v>27805207.25</v>
      </c>
      <c r="J52" s="207"/>
      <c r="K52" s="207">
        <f>C52+I52-J52</f>
        <v>192923207.25</v>
      </c>
      <c r="L52" s="526" t="s">
        <v>355</v>
      </c>
    </row>
    <row r="53" spans="1:12" s="210" customFormat="1" ht="27" customHeight="1">
      <c r="A53" s="543" t="s">
        <v>302</v>
      </c>
      <c r="B53" s="556" t="s">
        <v>357</v>
      </c>
      <c r="C53" s="545">
        <f>E53+F53+D53</f>
        <v>4000000</v>
      </c>
      <c r="D53" s="545"/>
      <c r="E53" s="207"/>
      <c r="F53" s="207">
        <v>4000000</v>
      </c>
      <c r="G53" s="208">
        <v>2530000</v>
      </c>
      <c r="H53" s="208">
        <f>G53-C53</f>
        <v>-1470000</v>
      </c>
      <c r="I53" s="207"/>
      <c r="J53" s="207">
        <f>F53-F54</f>
        <v>1470000</v>
      </c>
      <c r="K53" s="207">
        <f>C53+I53-J53</f>
        <v>2530000</v>
      </c>
      <c r="L53" s="526"/>
    </row>
    <row r="54" spans="1:12" s="210" customFormat="1" ht="27" customHeight="1">
      <c r="A54" s="543" t="s">
        <v>302</v>
      </c>
      <c r="B54" s="557" t="s">
        <v>358</v>
      </c>
      <c r="C54" s="545">
        <f>E54+F54+D54</f>
        <v>2530000</v>
      </c>
      <c r="D54" s="545"/>
      <c r="E54" s="207"/>
      <c r="F54" s="207">
        <v>2530000</v>
      </c>
      <c r="G54" s="208">
        <v>4000000</v>
      </c>
      <c r="H54" s="208">
        <f>G54-C54</f>
        <v>1470000</v>
      </c>
      <c r="I54" s="207">
        <f>J53</f>
        <v>1470000</v>
      </c>
      <c r="J54" s="207"/>
      <c r="K54" s="207">
        <f>C54+I54-J54</f>
        <v>4000000</v>
      </c>
      <c r="L54" s="526"/>
    </row>
    <row r="55" spans="1:12" s="263" customFormat="1" ht="28.5">
      <c r="A55" s="540">
        <v>13</v>
      </c>
      <c r="B55" s="542" t="s">
        <v>373</v>
      </c>
      <c r="C55" s="211">
        <f aca="true" t="shared" si="17" ref="C55:K55">C56</f>
        <v>424275000</v>
      </c>
      <c r="D55" s="211"/>
      <c r="E55" s="211">
        <f t="shared" si="17"/>
        <v>424275000</v>
      </c>
      <c r="F55" s="211">
        <f t="shared" si="17"/>
        <v>0</v>
      </c>
      <c r="G55" s="211">
        <f t="shared" si="17"/>
        <v>424275000</v>
      </c>
      <c r="H55" s="211">
        <f t="shared" si="17"/>
        <v>0</v>
      </c>
      <c r="I55" s="211">
        <f t="shared" si="17"/>
        <v>49720414.5</v>
      </c>
      <c r="J55" s="211">
        <f t="shared" si="17"/>
        <v>0</v>
      </c>
      <c r="K55" s="211">
        <f t="shared" si="17"/>
        <v>473995414.5</v>
      </c>
      <c r="L55" s="211"/>
    </row>
    <row r="56" spans="1:12" s="41" customFormat="1" ht="60">
      <c r="A56" s="543" t="s">
        <v>302</v>
      </c>
      <c r="B56" s="544" t="s">
        <v>303</v>
      </c>
      <c r="C56" s="545">
        <f>E56+F56</f>
        <v>424275000</v>
      </c>
      <c r="D56" s="545"/>
      <c r="E56" s="38">
        <v>424275000</v>
      </c>
      <c r="F56" s="38"/>
      <c r="G56" s="208">
        <f>'Chi tiết'!W77+480</f>
        <v>424275000</v>
      </c>
      <c r="H56" s="208">
        <f>G56-C56</f>
        <v>0</v>
      </c>
      <c r="I56" s="38">
        <f>(198881658/8)*2</f>
        <v>49720414.5</v>
      </c>
      <c r="J56" s="38"/>
      <c r="K56" s="207">
        <f>C56+I56-J56</f>
        <v>473995414.5</v>
      </c>
      <c r="L56" s="509" t="s">
        <v>356</v>
      </c>
    </row>
    <row r="57" spans="1:12" s="263" customFormat="1" ht="28.5">
      <c r="A57" s="540">
        <v>14</v>
      </c>
      <c r="B57" s="542" t="s">
        <v>330</v>
      </c>
      <c r="C57" s="549">
        <f>E57+F57</f>
        <v>138228000</v>
      </c>
      <c r="D57" s="549"/>
      <c r="E57" s="507">
        <v>138228000</v>
      </c>
      <c r="F57" s="507"/>
      <c r="G57" s="508"/>
      <c r="H57" s="508">
        <f>G57-C57</f>
        <v>-138228000</v>
      </c>
      <c r="I57" s="507"/>
      <c r="J57" s="507">
        <f>-H57</f>
        <v>138228000</v>
      </c>
      <c r="K57" s="207">
        <f>C57+I57-J57</f>
        <v>0</v>
      </c>
      <c r="L57" s="262"/>
    </row>
    <row r="58" spans="1:13" s="9" customFormat="1" ht="14.25">
      <c r="A58" s="540" t="s">
        <v>13</v>
      </c>
      <c r="B58" s="541" t="s">
        <v>14</v>
      </c>
      <c r="C58" s="549">
        <f>C59</f>
        <v>554222000</v>
      </c>
      <c r="D58" s="549"/>
      <c r="E58" s="549">
        <f aca="true" t="shared" si="18" ref="E58:K59">E59</f>
        <v>554222000</v>
      </c>
      <c r="F58" s="549">
        <f t="shared" si="18"/>
        <v>0</v>
      </c>
      <c r="G58" s="549">
        <f t="shared" si="18"/>
        <v>596387000</v>
      </c>
      <c r="H58" s="549">
        <f t="shared" si="18"/>
        <v>42165000</v>
      </c>
      <c r="I58" s="549">
        <f t="shared" si="18"/>
        <v>42165000</v>
      </c>
      <c r="J58" s="549">
        <f t="shared" si="18"/>
        <v>0</v>
      </c>
      <c r="K58" s="549">
        <f t="shared" si="18"/>
        <v>596387000</v>
      </c>
      <c r="L58" s="549"/>
      <c r="M58" s="515">
        <f>I58</f>
        <v>42165000</v>
      </c>
    </row>
    <row r="59" spans="1:12" s="263" customFormat="1" ht="28.5">
      <c r="A59" s="540">
        <v>1</v>
      </c>
      <c r="B59" s="542" t="s">
        <v>371</v>
      </c>
      <c r="C59" s="549">
        <f>C60</f>
        <v>554222000</v>
      </c>
      <c r="D59" s="549"/>
      <c r="E59" s="549">
        <f t="shared" si="18"/>
        <v>554222000</v>
      </c>
      <c r="F59" s="549">
        <f t="shared" si="18"/>
        <v>0</v>
      </c>
      <c r="G59" s="549">
        <f>G60</f>
        <v>596387000</v>
      </c>
      <c r="H59" s="549">
        <f>H60</f>
        <v>42165000</v>
      </c>
      <c r="I59" s="549">
        <f t="shared" si="18"/>
        <v>42165000</v>
      </c>
      <c r="J59" s="549">
        <f t="shared" si="18"/>
        <v>0</v>
      </c>
      <c r="K59" s="549">
        <f t="shared" si="18"/>
        <v>596387000</v>
      </c>
      <c r="L59" s="549"/>
    </row>
    <row r="60" spans="1:12" s="41" customFormat="1" ht="30">
      <c r="A60" s="543" t="s">
        <v>302</v>
      </c>
      <c r="B60" s="544" t="s">
        <v>303</v>
      </c>
      <c r="C60" s="545">
        <f>E60+F60</f>
        <v>554222000</v>
      </c>
      <c r="D60" s="545"/>
      <c r="E60" s="38">
        <v>554222000</v>
      </c>
      <c r="F60" s="38"/>
      <c r="G60" s="39">
        <f>'Chi tiết'!W13+1164.5</f>
        <v>596387000</v>
      </c>
      <c r="H60" s="39">
        <f>G60-C60</f>
        <v>42165000</v>
      </c>
      <c r="I60" s="38">
        <f>42165000</f>
        <v>42165000</v>
      </c>
      <c r="J60" s="38"/>
      <c r="K60" s="38">
        <f>C60+I60-J60</f>
        <v>596387000</v>
      </c>
      <c r="L60" s="40"/>
    </row>
    <row r="61" spans="1:13" s="9" customFormat="1" ht="14.25">
      <c r="A61" s="540" t="s">
        <v>15</v>
      </c>
      <c r="B61" s="541" t="s">
        <v>16</v>
      </c>
      <c r="C61" s="549">
        <f>C62</f>
        <v>646259000</v>
      </c>
      <c r="D61" s="549"/>
      <c r="E61" s="549">
        <f aca="true" t="shared" si="19" ref="E61:K61">E62</f>
        <v>646259000</v>
      </c>
      <c r="F61" s="549">
        <f t="shared" si="19"/>
        <v>0</v>
      </c>
      <c r="G61" s="549">
        <f t="shared" si="19"/>
        <v>661259000</v>
      </c>
      <c r="H61" s="549">
        <f t="shared" si="19"/>
        <v>15000000</v>
      </c>
      <c r="I61" s="549">
        <f t="shared" si="19"/>
        <v>104000000</v>
      </c>
      <c r="J61" s="549">
        <f t="shared" si="19"/>
        <v>39000000</v>
      </c>
      <c r="K61" s="549">
        <f t="shared" si="19"/>
        <v>711259000</v>
      </c>
      <c r="L61" s="549"/>
      <c r="M61" s="515">
        <f>I61-J61</f>
        <v>65000000</v>
      </c>
    </row>
    <row r="62" spans="1:12" s="263" customFormat="1" ht="28.5">
      <c r="A62" s="540">
        <v>1</v>
      </c>
      <c r="B62" s="542" t="s">
        <v>371</v>
      </c>
      <c r="C62" s="549">
        <f aca="true" t="shared" si="20" ref="C62:K62">SUM(C63:C65)</f>
        <v>646259000</v>
      </c>
      <c r="D62" s="549">
        <f t="shared" si="20"/>
        <v>0</v>
      </c>
      <c r="E62" s="549">
        <f t="shared" si="20"/>
        <v>646259000</v>
      </c>
      <c r="F62" s="549">
        <f t="shared" si="20"/>
        <v>0</v>
      </c>
      <c r="G62" s="549">
        <f t="shared" si="20"/>
        <v>661259000</v>
      </c>
      <c r="H62" s="549">
        <f t="shared" si="20"/>
        <v>15000000</v>
      </c>
      <c r="I62" s="549">
        <f t="shared" si="20"/>
        <v>104000000</v>
      </c>
      <c r="J62" s="549">
        <f t="shared" si="20"/>
        <v>39000000</v>
      </c>
      <c r="K62" s="549">
        <f t="shared" si="20"/>
        <v>711259000</v>
      </c>
      <c r="L62" s="549"/>
    </row>
    <row r="63" spans="1:12" s="41" customFormat="1" ht="30">
      <c r="A63" s="543" t="s">
        <v>302</v>
      </c>
      <c r="B63" s="544" t="s">
        <v>303</v>
      </c>
      <c r="C63" s="545">
        <f>E63+F63</f>
        <v>469953000</v>
      </c>
      <c r="D63" s="545"/>
      <c r="E63" s="38">
        <v>469953000</v>
      </c>
      <c r="F63" s="38"/>
      <c r="G63" s="39">
        <f>'Chi tiết'!W22+1726.5</f>
        <v>523953000</v>
      </c>
      <c r="H63" s="39">
        <f>G63-C63</f>
        <v>54000000</v>
      </c>
      <c r="I63" s="38">
        <f>54000000</f>
        <v>54000000</v>
      </c>
      <c r="J63" s="38"/>
      <c r="K63" s="38">
        <f>C63+I63-J63</f>
        <v>523953000</v>
      </c>
      <c r="L63" s="40"/>
    </row>
    <row r="64" spans="1:12" s="41" customFormat="1" ht="60">
      <c r="A64" s="543" t="s">
        <v>302</v>
      </c>
      <c r="B64" s="544" t="s">
        <v>339</v>
      </c>
      <c r="C64" s="545">
        <f>E64+F64</f>
        <v>176306000</v>
      </c>
      <c r="D64" s="545"/>
      <c r="E64" s="38">
        <v>176306000</v>
      </c>
      <c r="F64" s="38"/>
      <c r="G64" s="39">
        <f>E64-39000000</f>
        <v>137306000</v>
      </c>
      <c r="H64" s="39">
        <f>G64-C64</f>
        <v>-39000000</v>
      </c>
      <c r="I64" s="38"/>
      <c r="J64" s="38">
        <v>39000000</v>
      </c>
      <c r="K64" s="38">
        <f>C64+I64-J64</f>
        <v>137306000</v>
      </c>
      <c r="L64" s="40"/>
    </row>
    <row r="65" spans="1:12" s="41" customFormat="1" ht="30">
      <c r="A65" s="543" t="s">
        <v>302</v>
      </c>
      <c r="B65" s="544" t="s">
        <v>368</v>
      </c>
      <c r="C65" s="545"/>
      <c r="D65" s="545"/>
      <c r="E65" s="38"/>
      <c r="F65" s="38"/>
      <c r="G65" s="39"/>
      <c r="H65" s="39"/>
      <c r="I65" s="38">
        <v>50000000</v>
      </c>
      <c r="J65" s="38"/>
      <c r="K65" s="38">
        <f>C65+I65-J65</f>
        <v>50000000</v>
      </c>
      <c r="L65" s="40"/>
    </row>
    <row r="66" spans="1:12" s="9" customFormat="1" ht="14.25">
      <c r="A66" s="540" t="s">
        <v>307</v>
      </c>
      <c r="B66" s="541" t="s">
        <v>17</v>
      </c>
      <c r="C66" s="549">
        <f>C67</f>
        <v>494264000</v>
      </c>
      <c r="D66" s="549"/>
      <c r="E66" s="549">
        <f aca="true" t="shared" si="21" ref="E66:K67">E67</f>
        <v>494264000</v>
      </c>
      <c r="F66" s="549">
        <f t="shared" si="21"/>
        <v>0</v>
      </c>
      <c r="G66" s="549">
        <f t="shared" si="21"/>
        <v>494264000</v>
      </c>
      <c r="H66" s="549">
        <f t="shared" si="21"/>
        <v>0</v>
      </c>
      <c r="I66" s="549">
        <f t="shared" si="21"/>
        <v>0</v>
      </c>
      <c r="J66" s="549">
        <f t="shared" si="21"/>
        <v>0</v>
      </c>
      <c r="K66" s="549">
        <f t="shared" si="21"/>
        <v>494264000</v>
      </c>
      <c r="L66" s="549"/>
    </row>
    <row r="67" spans="1:12" s="9" customFormat="1" ht="14.25">
      <c r="A67" s="540">
        <v>1</v>
      </c>
      <c r="B67" s="541" t="s">
        <v>18</v>
      </c>
      <c r="C67" s="549">
        <f>C68</f>
        <v>494264000</v>
      </c>
      <c r="D67" s="549"/>
      <c r="E67" s="549">
        <f t="shared" si="21"/>
        <v>494264000</v>
      </c>
      <c r="F67" s="549">
        <f t="shared" si="21"/>
        <v>0</v>
      </c>
      <c r="G67" s="549">
        <f>G68</f>
        <v>494264000</v>
      </c>
      <c r="H67" s="549">
        <f t="shared" si="21"/>
        <v>0</v>
      </c>
      <c r="I67" s="549">
        <f t="shared" si="21"/>
        <v>0</v>
      </c>
      <c r="J67" s="549">
        <f t="shared" si="21"/>
        <v>0</v>
      </c>
      <c r="K67" s="549">
        <f t="shared" si="21"/>
        <v>494264000</v>
      </c>
      <c r="L67" s="549"/>
    </row>
    <row r="68" spans="1:12" s="261" customFormat="1" ht="30">
      <c r="A68" s="258" t="s">
        <v>302</v>
      </c>
      <c r="B68" s="544" t="s">
        <v>303</v>
      </c>
      <c r="C68" s="545">
        <f>E68+F68</f>
        <v>494264000</v>
      </c>
      <c r="D68" s="545"/>
      <c r="E68" s="38">
        <f>'[2]01'!$C$9</f>
        <v>494264000</v>
      </c>
      <c r="F68" s="38"/>
      <c r="G68" s="39">
        <f>'Chi tiết'!W30-4462</f>
        <v>494264000</v>
      </c>
      <c r="H68" s="208">
        <f>G68-C68</f>
        <v>0</v>
      </c>
      <c r="I68" s="259"/>
      <c r="J68" s="38"/>
      <c r="K68" s="207">
        <f>C68+I68-J68</f>
        <v>494264000</v>
      </c>
      <c r="L68" s="260"/>
    </row>
    <row r="69" spans="1:13" s="8" customFormat="1" ht="14.25">
      <c r="A69" s="520" t="s">
        <v>363</v>
      </c>
      <c r="B69" s="520" t="s">
        <v>340</v>
      </c>
      <c r="C69" s="522">
        <f>C70</f>
        <v>155000000</v>
      </c>
      <c r="D69" s="522"/>
      <c r="E69" s="522">
        <f aca="true" t="shared" si="22" ref="E69:K69">E70</f>
        <v>155000000</v>
      </c>
      <c r="F69" s="522">
        <f t="shared" si="22"/>
        <v>0</v>
      </c>
      <c r="G69" s="522">
        <f t="shared" si="22"/>
        <v>194000000</v>
      </c>
      <c r="H69" s="522">
        <f>H70</f>
        <v>39000000</v>
      </c>
      <c r="I69" s="522">
        <f t="shared" si="22"/>
        <v>39000000</v>
      </c>
      <c r="J69" s="522">
        <f t="shared" si="22"/>
        <v>0</v>
      </c>
      <c r="K69" s="522">
        <f t="shared" si="22"/>
        <v>194000000</v>
      </c>
      <c r="L69" s="7"/>
      <c r="M69" s="531">
        <f>I69</f>
        <v>39000000</v>
      </c>
    </row>
    <row r="70" spans="1:12" s="8" customFormat="1" ht="41.25" customHeight="1">
      <c r="A70" s="520">
        <v>1</v>
      </c>
      <c r="B70" s="542" t="s">
        <v>371</v>
      </c>
      <c r="C70" s="522">
        <f>E70+F70</f>
        <v>155000000</v>
      </c>
      <c r="D70" s="522"/>
      <c r="E70" s="6">
        <v>155000000</v>
      </c>
      <c r="F70" s="6"/>
      <c r="G70" s="525">
        <f>E70+39000000</f>
        <v>194000000</v>
      </c>
      <c r="H70" s="525">
        <f>G70-C70</f>
        <v>39000000</v>
      </c>
      <c r="I70" s="6">
        <f>H70</f>
        <v>39000000</v>
      </c>
      <c r="J70" s="6"/>
      <c r="K70" s="6">
        <f>C70+I70-J70</f>
        <v>194000000</v>
      </c>
      <c r="L70" s="7"/>
    </row>
    <row r="71" spans="1:12" ht="45">
      <c r="A71" s="516" t="s">
        <v>302</v>
      </c>
      <c r="B71" s="524" t="s">
        <v>343</v>
      </c>
      <c r="C71" s="521">
        <f>E71+F71</f>
        <v>155000000</v>
      </c>
      <c r="D71" s="521"/>
      <c r="E71" s="517">
        <v>155000000</v>
      </c>
      <c r="F71" s="517"/>
      <c r="G71" s="518">
        <f>E71+39000000</f>
        <v>194000000</v>
      </c>
      <c r="H71" s="518">
        <f>G71-C71</f>
        <v>39000000</v>
      </c>
      <c r="I71" s="517">
        <f>H71</f>
        <v>39000000</v>
      </c>
      <c r="J71" s="517"/>
      <c r="K71" s="517">
        <f>C71+I71-J71</f>
        <v>194000000</v>
      </c>
      <c r="L71" s="519"/>
    </row>
    <row r="72" spans="1:13" s="528" customFormat="1" ht="23.25" customHeight="1">
      <c r="A72" s="6" t="s">
        <v>369</v>
      </c>
      <c r="B72" s="6" t="s">
        <v>364</v>
      </c>
      <c r="C72" s="6">
        <f>C73</f>
        <v>100000000</v>
      </c>
      <c r="D72" s="6">
        <f aca="true" t="shared" si="23" ref="D72:K72">D73</f>
        <v>0</v>
      </c>
      <c r="E72" s="6">
        <f t="shared" si="23"/>
        <v>100000000</v>
      </c>
      <c r="F72" s="6">
        <f t="shared" si="23"/>
        <v>0</v>
      </c>
      <c r="G72" s="6">
        <f t="shared" si="23"/>
        <v>140000000</v>
      </c>
      <c r="H72" s="6">
        <f t="shared" si="23"/>
        <v>40000000</v>
      </c>
      <c r="I72" s="6">
        <f t="shared" si="23"/>
        <v>40000000</v>
      </c>
      <c r="J72" s="6">
        <f t="shared" si="23"/>
        <v>0</v>
      </c>
      <c r="K72" s="6">
        <f t="shared" si="23"/>
        <v>140000000</v>
      </c>
      <c r="L72" s="6"/>
      <c r="M72" s="528">
        <f>I72</f>
        <v>40000000</v>
      </c>
    </row>
    <row r="73" spans="1:12" s="528" customFormat="1" ht="39" customHeight="1">
      <c r="A73" s="6">
        <v>1</v>
      </c>
      <c r="B73" s="529" t="s">
        <v>370</v>
      </c>
      <c r="C73" s="6">
        <f>C74</f>
        <v>100000000</v>
      </c>
      <c r="D73" s="6">
        <f aca="true" t="shared" si="24" ref="D73:J73">D74</f>
        <v>0</v>
      </c>
      <c r="E73" s="6">
        <f t="shared" si="24"/>
        <v>100000000</v>
      </c>
      <c r="F73" s="6">
        <f t="shared" si="24"/>
        <v>0</v>
      </c>
      <c r="G73" s="6">
        <f t="shared" si="24"/>
        <v>140000000</v>
      </c>
      <c r="H73" s="6">
        <f t="shared" si="24"/>
        <v>40000000</v>
      </c>
      <c r="I73" s="6">
        <f t="shared" si="24"/>
        <v>40000000</v>
      </c>
      <c r="J73" s="6">
        <f t="shared" si="24"/>
        <v>0</v>
      </c>
      <c r="K73" s="6">
        <f>K74</f>
        <v>140000000</v>
      </c>
      <c r="L73" s="6"/>
    </row>
    <row r="74" spans="1:12" s="4" customFormat="1" ht="30" customHeight="1">
      <c r="A74" s="517" t="s">
        <v>302</v>
      </c>
      <c r="B74" s="517" t="s">
        <v>365</v>
      </c>
      <c r="C74" s="517">
        <f>D74+E74+F74</f>
        <v>100000000</v>
      </c>
      <c r="D74" s="517"/>
      <c r="E74" s="517">
        <v>100000000</v>
      </c>
      <c r="F74" s="517"/>
      <c r="G74" s="518">
        <v>140000000</v>
      </c>
      <c r="H74" s="518">
        <f>G74-C74</f>
        <v>40000000</v>
      </c>
      <c r="I74" s="517">
        <v>40000000</v>
      </c>
      <c r="J74" s="517"/>
      <c r="K74" s="517">
        <f>C74+I74-J74</f>
        <v>140000000</v>
      </c>
      <c r="L74" s="517"/>
    </row>
  </sheetData>
  <sheetProtection/>
  <mergeCells count="11">
    <mergeCell ref="L4:L5"/>
    <mergeCell ref="A1:L1"/>
    <mergeCell ref="A2:L2"/>
    <mergeCell ref="A4:A5"/>
    <mergeCell ref="B4:B5"/>
    <mergeCell ref="C4:C5"/>
    <mergeCell ref="D4:F4"/>
    <mergeCell ref="G4:G5"/>
    <mergeCell ref="H4:H5"/>
    <mergeCell ref="I4:J4"/>
    <mergeCell ref="K4:K5"/>
  </mergeCells>
  <printOptions/>
  <pageMargins left="0.6" right="0" top="0.7480314960629921" bottom="0.7480314960629921" header="0.31496062992125984" footer="0.31496062992125984"/>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W203"/>
  <sheetViews>
    <sheetView zoomScale="68" zoomScaleNormal="68" zoomScalePageLayoutView="0" workbookViewId="0" topLeftCell="A115">
      <selection activeCell="H136" sqref="H136"/>
    </sheetView>
  </sheetViews>
  <sheetFormatPr defaultColWidth="9.140625" defaultRowHeight="15"/>
  <cols>
    <col min="1" max="1" width="3.421875" style="0" customWidth="1"/>
    <col min="2" max="2" width="25.8515625" style="0" customWidth="1"/>
    <col min="3" max="3" width="5.7109375" style="453" customWidth="1"/>
    <col min="4" max="4" width="4.28125" style="453" customWidth="1"/>
    <col min="5" max="5" width="9.7109375" style="278" customWidth="1"/>
    <col min="6" max="7" width="9.140625" style="278" customWidth="1"/>
    <col min="8" max="8" width="7.28125" style="278" customWidth="1"/>
    <col min="9" max="9" width="6.421875" style="278" customWidth="1"/>
    <col min="10" max="10" width="7.8515625" style="278" customWidth="1"/>
    <col min="11" max="11" width="7.28125" style="278" customWidth="1"/>
    <col min="12" max="12" width="0" style="278" hidden="1" customWidth="1"/>
    <col min="13" max="13" width="6.421875" style="278" customWidth="1"/>
    <col min="14" max="14" width="0" style="278" hidden="1" customWidth="1"/>
    <col min="15" max="15" width="9.140625" style="278" customWidth="1"/>
    <col min="16" max="19" width="0" style="278" hidden="1" customWidth="1"/>
    <col min="20" max="24" width="9.140625" style="278" customWidth="1"/>
    <col min="25" max="25" width="21.8515625" style="278" customWidth="1"/>
    <col min="26" max="26" width="8.8515625" style="79" hidden="1" customWidth="1"/>
    <col min="27" max="27" width="10.00390625" style="80" hidden="1" customWidth="1"/>
    <col min="28" max="28" width="11.00390625" style="79" hidden="1" customWidth="1"/>
    <col min="29" max="29" width="9.57421875" style="79" hidden="1" customWidth="1"/>
    <col min="30" max="30" width="9.140625" style="79" hidden="1" customWidth="1"/>
    <col min="31" max="31" width="7.7109375" style="79" hidden="1" customWidth="1"/>
    <col min="32" max="32" width="6.8515625" style="79" hidden="1" customWidth="1"/>
    <col min="33" max="33" width="8.421875" style="79" hidden="1" customWidth="1"/>
    <col min="34" max="34" width="6.421875" style="79" hidden="1" customWidth="1"/>
    <col min="35" max="35" width="8.28125" style="79" hidden="1" customWidth="1"/>
    <col min="36" max="36" width="7.7109375" style="79" hidden="1" customWidth="1"/>
    <col min="37" max="37" width="8.00390625" style="79" hidden="1" customWidth="1"/>
    <col min="38" max="38" width="6.7109375" style="79" hidden="1" customWidth="1"/>
    <col min="39" max="39" width="6.57421875" style="79" hidden="1" customWidth="1"/>
    <col min="40" max="40" width="6.8515625" style="79" hidden="1" customWidth="1"/>
    <col min="41" max="42" width="9.140625" style="79" hidden="1" customWidth="1"/>
    <col min="43" max="43" width="7.8515625" style="79" hidden="1" customWidth="1"/>
    <col min="44" max="44" width="9.28125" style="79" hidden="1" customWidth="1"/>
    <col min="45" max="45" width="11.8515625" style="79" hidden="1" customWidth="1"/>
    <col min="46" max="46" width="19.00390625" style="102" hidden="1" customWidth="1"/>
    <col min="47" max="47" width="18.57421875" style="0" hidden="1" customWidth="1"/>
  </cols>
  <sheetData>
    <row r="1" spans="1:75" ht="15">
      <c r="A1" s="33" t="s">
        <v>1</v>
      </c>
      <c r="B1" s="34"/>
      <c r="C1" s="441"/>
      <c r="D1" s="441"/>
      <c r="E1" s="271"/>
      <c r="F1" s="272">
        <f>22+17+21+23+17+20+5+19+15</f>
        <v>159</v>
      </c>
      <c r="G1" s="270">
        <f>3.775*1.49*12</f>
        <v>67.497</v>
      </c>
      <c r="H1" s="270"/>
      <c r="I1" s="271"/>
      <c r="J1" s="270"/>
      <c r="K1" s="270"/>
      <c r="L1" s="270"/>
      <c r="M1" s="270"/>
      <c r="N1" s="270"/>
      <c r="O1" s="270"/>
      <c r="P1" s="270"/>
      <c r="Q1" s="270"/>
      <c r="R1" s="270"/>
      <c r="S1" s="272"/>
      <c r="T1" s="270"/>
      <c r="U1" s="270"/>
      <c r="V1" s="270"/>
      <c r="W1" s="270"/>
      <c r="X1" s="270"/>
      <c r="Y1" s="273"/>
      <c r="Z1" s="44"/>
      <c r="AA1" s="45"/>
      <c r="AB1" s="44"/>
      <c r="AC1" s="44"/>
      <c r="AD1" s="44"/>
      <c r="AE1" s="44"/>
      <c r="AF1" s="44"/>
      <c r="AG1" s="44"/>
      <c r="AH1" s="44"/>
      <c r="AI1" s="44"/>
      <c r="AJ1" s="44"/>
      <c r="AK1" s="44"/>
      <c r="AL1" s="44"/>
      <c r="AM1" s="44"/>
      <c r="AN1" s="44"/>
      <c r="AO1" s="44"/>
      <c r="AP1" s="44"/>
      <c r="AQ1" s="44"/>
      <c r="AR1" s="44"/>
      <c r="AS1" s="44" t="s">
        <v>234</v>
      </c>
      <c r="AT1" s="9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row>
    <row r="2" spans="1:75" ht="15">
      <c r="A2" s="580" t="s">
        <v>232</v>
      </c>
      <c r="B2" s="580"/>
      <c r="C2" s="580"/>
      <c r="D2" s="580"/>
      <c r="E2" s="580"/>
      <c r="F2" s="580"/>
      <c r="G2" s="580"/>
      <c r="H2" s="580"/>
      <c r="I2" s="580"/>
      <c r="J2" s="580"/>
      <c r="K2" s="580"/>
      <c r="L2" s="580"/>
      <c r="M2" s="580"/>
      <c r="N2" s="580"/>
      <c r="O2" s="580"/>
      <c r="P2" s="580"/>
      <c r="Q2" s="580"/>
      <c r="R2" s="580"/>
      <c r="S2" s="580"/>
      <c r="T2" s="274"/>
      <c r="U2" s="274"/>
      <c r="V2" s="274"/>
      <c r="W2" s="274"/>
      <c r="X2" s="274"/>
      <c r="Y2" s="275"/>
      <c r="Z2" s="36"/>
      <c r="AA2" s="46"/>
      <c r="AB2" s="46"/>
      <c r="AC2" s="46"/>
      <c r="AD2" s="46"/>
      <c r="AE2" s="46"/>
      <c r="AF2" s="46"/>
      <c r="AG2" s="46"/>
      <c r="AH2" s="46"/>
      <c r="AI2" s="46"/>
      <c r="AJ2" s="46"/>
      <c r="AK2" s="46"/>
      <c r="AL2" s="46"/>
      <c r="AM2" s="46"/>
      <c r="AN2" s="46"/>
      <c r="AO2" s="46"/>
      <c r="AP2" s="46"/>
      <c r="AQ2" s="46"/>
      <c r="AR2" s="46"/>
      <c r="AS2" s="46"/>
      <c r="AT2" s="94"/>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row>
    <row r="3" spans="1:75" ht="15">
      <c r="A3" s="35"/>
      <c r="B3" s="34"/>
      <c r="C3" s="442"/>
      <c r="D3" s="442"/>
      <c r="E3" s="271"/>
      <c r="F3" s="272"/>
      <c r="G3" s="271"/>
      <c r="H3" s="271"/>
      <c r="I3" s="271"/>
      <c r="J3" s="271"/>
      <c r="K3" s="271"/>
      <c r="L3" s="271"/>
      <c r="M3" s="271"/>
      <c r="N3" s="271"/>
      <c r="O3" s="271"/>
      <c r="P3" s="271"/>
      <c r="Q3" s="271"/>
      <c r="R3" s="271"/>
      <c r="S3" s="271"/>
      <c r="T3" s="271"/>
      <c r="U3" s="271"/>
      <c r="V3" s="271"/>
      <c r="W3" s="271"/>
      <c r="X3" s="271"/>
      <c r="Y3" s="276"/>
      <c r="Z3" s="49"/>
      <c r="AA3" s="45"/>
      <c r="AB3" s="49"/>
      <c r="AC3" s="49"/>
      <c r="AD3" s="49"/>
      <c r="AE3" s="49"/>
      <c r="AF3" s="49"/>
      <c r="AG3" s="49"/>
      <c r="AH3" s="49"/>
      <c r="AI3" s="49"/>
      <c r="AJ3" s="49"/>
      <c r="AK3" s="49"/>
      <c r="AL3" s="49"/>
      <c r="AM3" s="49"/>
      <c r="AN3" s="49"/>
      <c r="AO3" s="49"/>
      <c r="AP3" s="49"/>
      <c r="AQ3" s="49"/>
      <c r="AR3" s="49"/>
      <c r="AS3" s="49"/>
      <c r="AT3" s="95"/>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row>
    <row r="4" spans="1:75" ht="15">
      <c r="A4" s="580" t="s">
        <v>231</v>
      </c>
      <c r="B4" s="580"/>
      <c r="C4" s="580"/>
      <c r="D4" s="580"/>
      <c r="E4" s="580"/>
      <c r="F4" s="580"/>
      <c r="G4" s="580"/>
      <c r="H4" s="580"/>
      <c r="I4" s="580"/>
      <c r="J4" s="580"/>
      <c r="K4" s="580"/>
      <c r="L4" s="580"/>
      <c r="M4" s="580"/>
      <c r="N4" s="580"/>
      <c r="O4" s="580"/>
      <c r="P4" s="580"/>
      <c r="Q4" s="580"/>
      <c r="R4" s="580"/>
      <c r="S4" s="581"/>
      <c r="T4" s="580"/>
      <c r="U4" s="580"/>
      <c r="V4" s="580"/>
      <c r="W4" s="580"/>
      <c r="X4" s="580"/>
      <c r="Y4" s="580"/>
      <c r="Z4" s="580"/>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row>
    <row r="5" spans="1:75" ht="15">
      <c r="A5" s="582"/>
      <c r="B5" s="582"/>
      <c r="C5" s="582"/>
      <c r="D5" s="582"/>
      <c r="E5" s="582"/>
      <c r="F5" s="582"/>
      <c r="G5" s="582"/>
      <c r="H5" s="582"/>
      <c r="I5" s="582"/>
      <c r="J5" s="582"/>
      <c r="K5" s="582"/>
      <c r="L5" s="582"/>
      <c r="M5" s="582"/>
      <c r="N5" s="582"/>
      <c r="O5" s="582"/>
      <c r="P5" s="582"/>
      <c r="Q5" s="582"/>
      <c r="R5" s="582"/>
      <c r="S5" s="583"/>
      <c r="T5" s="582"/>
      <c r="U5" s="582"/>
      <c r="V5" s="582"/>
      <c r="W5" s="582"/>
      <c r="X5" s="582"/>
      <c r="Y5" s="582"/>
      <c r="Z5" s="582"/>
      <c r="AA5" s="36"/>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row>
    <row r="6" spans="1:75" ht="15">
      <c r="A6" s="35"/>
      <c r="B6" s="34"/>
      <c r="C6" s="442"/>
      <c r="D6" s="442"/>
      <c r="E6" s="271"/>
      <c r="F6" s="272"/>
      <c r="G6" s="271"/>
      <c r="H6" s="271"/>
      <c r="I6" s="271"/>
      <c r="J6" s="271"/>
      <c r="K6" s="271"/>
      <c r="L6" s="271"/>
      <c r="M6" s="271"/>
      <c r="N6" s="271"/>
      <c r="O6" s="271"/>
      <c r="P6" s="271"/>
      <c r="Q6" s="271"/>
      <c r="R6" s="271"/>
      <c r="S6" s="272"/>
      <c r="T6" s="271"/>
      <c r="U6" s="271"/>
      <c r="V6" s="271"/>
      <c r="W6" s="271"/>
      <c r="X6" s="271"/>
      <c r="Y6" s="276"/>
      <c r="Z6" s="49"/>
      <c r="AA6" s="45"/>
      <c r="AB6" s="49"/>
      <c r="AC6" s="49"/>
      <c r="AD6" s="49"/>
      <c r="AE6" s="49"/>
      <c r="AF6" s="49"/>
      <c r="AG6" s="49"/>
      <c r="AH6" s="49"/>
      <c r="AI6" s="49"/>
      <c r="AJ6" s="49"/>
      <c r="AK6" s="49"/>
      <c r="AL6" s="49"/>
      <c r="AM6" s="49"/>
      <c r="AN6" s="49"/>
      <c r="AO6" s="49"/>
      <c r="AP6" s="49"/>
      <c r="AQ6" s="49"/>
      <c r="AR6" s="49"/>
      <c r="AS6" s="49"/>
      <c r="AT6" s="95"/>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row>
    <row r="7" spans="1:75" ht="15.75">
      <c r="A7" s="584" t="s">
        <v>0</v>
      </c>
      <c r="B7" s="584" t="s">
        <v>230</v>
      </c>
      <c r="C7" s="587" t="s">
        <v>229</v>
      </c>
      <c r="D7" s="587" t="s">
        <v>228</v>
      </c>
      <c r="E7" s="590" t="s">
        <v>227</v>
      </c>
      <c r="F7" s="591"/>
      <c r="G7" s="591"/>
      <c r="H7" s="591"/>
      <c r="I7" s="591"/>
      <c r="J7" s="591"/>
      <c r="K7" s="591"/>
      <c r="L7" s="591"/>
      <c r="M7" s="591"/>
      <c r="N7" s="591"/>
      <c r="O7" s="591"/>
      <c r="P7" s="591"/>
      <c r="Q7" s="591"/>
      <c r="R7" s="591"/>
      <c r="S7" s="592"/>
      <c r="T7" s="591"/>
      <c r="U7" s="591"/>
      <c r="V7" s="591"/>
      <c r="W7" s="591"/>
      <c r="X7" s="593"/>
      <c r="Y7" s="571" t="s">
        <v>226</v>
      </c>
      <c r="Z7" s="574" t="s">
        <v>237</v>
      </c>
      <c r="AA7" s="578" t="s">
        <v>238</v>
      </c>
      <c r="AB7" s="578"/>
      <c r="AC7" s="578"/>
      <c r="AD7" s="578"/>
      <c r="AE7" s="578"/>
      <c r="AF7" s="578"/>
      <c r="AG7" s="578"/>
      <c r="AH7" s="578"/>
      <c r="AI7" s="578"/>
      <c r="AJ7" s="578"/>
      <c r="AK7" s="578"/>
      <c r="AL7" s="578"/>
      <c r="AM7" s="578"/>
      <c r="AN7" s="578"/>
      <c r="AO7" s="578"/>
      <c r="AP7" s="578"/>
      <c r="AQ7" s="578"/>
      <c r="AR7" s="578"/>
      <c r="AS7" s="579"/>
      <c r="AT7" s="604" t="s">
        <v>233</v>
      </c>
      <c r="AU7" s="601" t="s">
        <v>308</v>
      </c>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row>
    <row r="8" spans="1:75" ht="15.75">
      <c r="A8" s="585"/>
      <c r="B8" s="585"/>
      <c r="C8" s="588"/>
      <c r="D8" s="588"/>
      <c r="E8" s="594" t="s">
        <v>24</v>
      </c>
      <c r="F8" s="596" t="s">
        <v>225</v>
      </c>
      <c r="G8" s="595" t="s">
        <v>224</v>
      </c>
      <c r="H8" s="599" t="s">
        <v>20</v>
      </c>
      <c r="I8" s="599"/>
      <c r="J8" s="599"/>
      <c r="K8" s="599"/>
      <c r="L8" s="599"/>
      <c r="M8" s="599"/>
      <c r="N8" s="599"/>
      <c r="O8" s="599"/>
      <c r="P8" s="599"/>
      <c r="Q8" s="599"/>
      <c r="R8" s="599"/>
      <c r="S8" s="600"/>
      <c r="T8" s="599"/>
      <c r="U8" s="599"/>
      <c r="V8" s="599"/>
      <c r="W8" s="599"/>
      <c r="X8" s="599"/>
      <c r="Y8" s="572"/>
      <c r="Z8" s="575"/>
      <c r="AA8" s="605" t="s">
        <v>24</v>
      </c>
      <c r="AB8" s="576" t="s">
        <v>225</v>
      </c>
      <c r="AC8" s="576" t="s">
        <v>224</v>
      </c>
      <c r="AD8" s="608" t="s">
        <v>20</v>
      </c>
      <c r="AE8" s="609"/>
      <c r="AF8" s="609"/>
      <c r="AG8" s="609"/>
      <c r="AH8" s="609"/>
      <c r="AI8" s="609"/>
      <c r="AJ8" s="609"/>
      <c r="AK8" s="609"/>
      <c r="AL8" s="609"/>
      <c r="AM8" s="609"/>
      <c r="AN8" s="609"/>
      <c r="AO8" s="609"/>
      <c r="AP8" s="609"/>
      <c r="AQ8" s="609"/>
      <c r="AR8" s="609"/>
      <c r="AS8" s="577" t="s">
        <v>207</v>
      </c>
      <c r="AT8" s="604"/>
      <c r="AU8" s="60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row>
    <row r="9" spans="1:75" ht="110.25">
      <c r="A9" s="586"/>
      <c r="B9" s="586"/>
      <c r="C9" s="589"/>
      <c r="D9" s="589"/>
      <c r="E9" s="595"/>
      <c r="F9" s="597"/>
      <c r="G9" s="598"/>
      <c r="H9" s="279" t="s">
        <v>223</v>
      </c>
      <c r="I9" s="279" t="s">
        <v>222</v>
      </c>
      <c r="J9" s="279" t="s">
        <v>221</v>
      </c>
      <c r="K9" s="279" t="s">
        <v>220</v>
      </c>
      <c r="L9" s="279" t="s">
        <v>219</v>
      </c>
      <c r="M9" s="279" t="s">
        <v>218</v>
      </c>
      <c r="N9" s="279" t="s">
        <v>217</v>
      </c>
      <c r="O9" s="279" t="s">
        <v>216</v>
      </c>
      <c r="P9" s="279" t="s">
        <v>215</v>
      </c>
      <c r="Q9" s="279" t="s">
        <v>214</v>
      </c>
      <c r="R9" s="279" t="s">
        <v>213</v>
      </c>
      <c r="S9" s="280" t="s">
        <v>212</v>
      </c>
      <c r="T9" s="279" t="s">
        <v>211</v>
      </c>
      <c r="U9" s="279" t="s">
        <v>210</v>
      </c>
      <c r="V9" s="279" t="s">
        <v>209</v>
      </c>
      <c r="W9" s="279" t="s">
        <v>208</v>
      </c>
      <c r="X9" s="279" t="s">
        <v>207</v>
      </c>
      <c r="Y9" s="573"/>
      <c r="Z9" s="576"/>
      <c r="AA9" s="606"/>
      <c r="AB9" s="607"/>
      <c r="AC9" s="607"/>
      <c r="AD9" s="281" t="s">
        <v>223</v>
      </c>
      <c r="AE9" s="281" t="s">
        <v>239</v>
      </c>
      <c r="AF9" s="281" t="s">
        <v>221</v>
      </c>
      <c r="AG9" s="281" t="s">
        <v>220</v>
      </c>
      <c r="AH9" s="281" t="s">
        <v>219</v>
      </c>
      <c r="AI9" s="281" t="s">
        <v>218</v>
      </c>
      <c r="AJ9" s="281" t="s">
        <v>217</v>
      </c>
      <c r="AK9" s="281" t="s">
        <v>216</v>
      </c>
      <c r="AL9" s="281" t="s">
        <v>215</v>
      </c>
      <c r="AM9" s="281" t="s">
        <v>214</v>
      </c>
      <c r="AN9" s="281" t="s">
        <v>213</v>
      </c>
      <c r="AO9" s="281" t="s">
        <v>212</v>
      </c>
      <c r="AP9" s="281" t="s">
        <v>211</v>
      </c>
      <c r="AQ9" s="281" t="s">
        <v>240</v>
      </c>
      <c r="AR9" s="282" t="s">
        <v>208</v>
      </c>
      <c r="AS9" s="577"/>
      <c r="AT9" s="604"/>
      <c r="AU9" s="603"/>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row>
    <row r="10" spans="1:75" ht="47.25">
      <c r="A10" s="283">
        <v>1</v>
      </c>
      <c r="B10" s="284" t="s">
        <v>206</v>
      </c>
      <c r="C10" s="443" t="s">
        <v>205</v>
      </c>
      <c r="D10" s="443" t="s">
        <v>204</v>
      </c>
      <c r="E10" s="285" t="s">
        <v>203</v>
      </c>
      <c r="F10" s="286" t="s">
        <v>202</v>
      </c>
      <c r="G10" s="285" t="s">
        <v>201</v>
      </c>
      <c r="H10" s="285" t="s">
        <v>200</v>
      </c>
      <c r="I10" s="285" t="s">
        <v>199</v>
      </c>
      <c r="J10" s="285" t="s">
        <v>198</v>
      </c>
      <c r="K10" s="285" t="s">
        <v>197</v>
      </c>
      <c r="L10" s="285" t="s">
        <v>196</v>
      </c>
      <c r="M10" s="285" t="s">
        <v>195</v>
      </c>
      <c r="N10" s="285" t="s">
        <v>194</v>
      </c>
      <c r="O10" s="285" t="s">
        <v>193</v>
      </c>
      <c r="P10" s="285" t="s">
        <v>192</v>
      </c>
      <c r="Q10" s="285" t="s">
        <v>191</v>
      </c>
      <c r="R10" s="285" t="s">
        <v>190</v>
      </c>
      <c r="S10" s="287" t="s">
        <v>189</v>
      </c>
      <c r="T10" s="285" t="s">
        <v>188</v>
      </c>
      <c r="U10" s="285" t="s">
        <v>187</v>
      </c>
      <c r="V10" s="285"/>
      <c r="W10" s="285" t="s">
        <v>186</v>
      </c>
      <c r="X10" s="285" t="s">
        <v>185</v>
      </c>
      <c r="Y10" s="288" t="s">
        <v>184</v>
      </c>
      <c r="Z10" s="289" t="s">
        <v>205</v>
      </c>
      <c r="AA10" s="290">
        <v>4</v>
      </c>
      <c r="AB10" s="289">
        <v>5</v>
      </c>
      <c r="AC10" s="289">
        <v>6</v>
      </c>
      <c r="AD10" s="289">
        <v>7</v>
      </c>
      <c r="AE10" s="289">
        <v>8</v>
      </c>
      <c r="AF10" s="289">
        <v>9</v>
      </c>
      <c r="AG10" s="289">
        <v>10</v>
      </c>
      <c r="AH10" s="289">
        <v>11</v>
      </c>
      <c r="AI10" s="289">
        <v>12</v>
      </c>
      <c r="AJ10" s="289">
        <v>13</v>
      </c>
      <c r="AK10" s="289">
        <v>14</v>
      </c>
      <c r="AL10" s="289">
        <v>15</v>
      </c>
      <c r="AM10" s="289">
        <v>16</v>
      </c>
      <c r="AN10" s="289">
        <v>17</v>
      </c>
      <c r="AO10" s="289">
        <v>18</v>
      </c>
      <c r="AP10" s="289">
        <v>19</v>
      </c>
      <c r="AQ10" s="289">
        <v>20</v>
      </c>
      <c r="AR10" s="289">
        <v>21</v>
      </c>
      <c r="AS10" s="454">
        <v>22</v>
      </c>
      <c r="AT10" s="480" t="s">
        <v>241</v>
      </c>
      <c r="AU10" s="27"/>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row>
    <row r="11" spans="1:75" ht="15.75">
      <c r="A11" s="291"/>
      <c r="B11" s="291" t="s">
        <v>183</v>
      </c>
      <c r="C11" s="444"/>
      <c r="D11" s="444"/>
      <c r="E11" s="292"/>
      <c r="F11" s="292"/>
      <c r="G11" s="292"/>
      <c r="H11" s="292"/>
      <c r="I11" s="292"/>
      <c r="J11" s="292"/>
      <c r="K11" s="292"/>
      <c r="L11" s="292"/>
      <c r="M11" s="292"/>
      <c r="N11" s="292"/>
      <c r="O11" s="292"/>
      <c r="P11" s="292"/>
      <c r="Q11" s="292"/>
      <c r="R11" s="292"/>
      <c r="S11" s="292"/>
      <c r="T11" s="292"/>
      <c r="U11" s="292"/>
      <c r="V11" s="292"/>
      <c r="W11" s="292"/>
      <c r="X11" s="292"/>
      <c r="Y11" s="293"/>
      <c r="Z11" s="294"/>
      <c r="AA11" s="294"/>
      <c r="AB11" s="294"/>
      <c r="AC11" s="294"/>
      <c r="AD11" s="294"/>
      <c r="AE11" s="294"/>
      <c r="AF11" s="294"/>
      <c r="AG11" s="294"/>
      <c r="AH11" s="294"/>
      <c r="AI11" s="294"/>
      <c r="AJ11" s="294"/>
      <c r="AK11" s="294"/>
      <c r="AL11" s="294"/>
      <c r="AM11" s="294"/>
      <c r="AN11" s="294"/>
      <c r="AO11" s="294"/>
      <c r="AP11" s="294"/>
      <c r="AQ11" s="294"/>
      <c r="AR11" s="294"/>
      <c r="AS11" s="455"/>
      <c r="AT11" s="481"/>
      <c r="AU11" s="28"/>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row>
    <row r="12" spans="1:75" ht="31.5">
      <c r="A12" s="295" t="s">
        <v>4</v>
      </c>
      <c r="B12" s="296" t="s">
        <v>182</v>
      </c>
      <c r="C12" s="444"/>
      <c r="D12" s="444"/>
      <c r="E12" s="292"/>
      <c r="F12" s="292"/>
      <c r="G12" s="292"/>
      <c r="H12" s="292"/>
      <c r="I12" s="292"/>
      <c r="J12" s="292"/>
      <c r="K12" s="292"/>
      <c r="L12" s="292"/>
      <c r="M12" s="292"/>
      <c r="N12" s="292"/>
      <c r="O12" s="292"/>
      <c r="P12" s="292"/>
      <c r="Q12" s="292"/>
      <c r="R12" s="292"/>
      <c r="S12" s="292"/>
      <c r="T12" s="292"/>
      <c r="U12" s="292"/>
      <c r="V12" s="292"/>
      <c r="W12" s="292"/>
      <c r="X12" s="292"/>
      <c r="Y12" s="292"/>
      <c r="Z12" s="294"/>
      <c r="AA12" s="294"/>
      <c r="AB12" s="294"/>
      <c r="AC12" s="294"/>
      <c r="AD12" s="294"/>
      <c r="AE12" s="294"/>
      <c r="AF12" s="294"/>
      <c r="AG12" s="294"/>
      <c r="AH12" s="294"/>
      <c r="AI12" s="294"/>
      <c r="AJ12" s="294"/>
      <c r="AK12" s="294"/>
      <c r="AL12" s="294"/>
      <c r="AM12" s="294"/>
      <c r="AN12" s="294"/>
      <c r="AO12" s="294"/>
      <c r="AP12" s="294"/>
      <c r="AQ12" s="294"/>
      <c r="AR12" s="294"/>
      <c r="AS12" s="455"/>
      <c r="AT12" s="481">
        <f>AT13+AT22+AT30+AT38+AT93</f>
        <v>13044538336.5</v>
      </c>
      <c r="AU12" s="28"/>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row>
    <row r="13" spans="1:75" ht="47.25">
      <c r="A13" s="297">
        <v>5</v>
      </c>
      <c r="B13" s="298" t="s">
        <v>181</v>
      </c>
      <c r="C13" s="445">
        <v>6</v>
      </c>
      <c r="D13" s="445">
        <v>5</v>
      </c>
      <c r="E13" s="299">
        <f aca="true" t="shared" si="0" ref="E13:X13">SUM(E14:E19)</f>
        <v>30.89515</v>
      </c>
      <c r="F13" s="299">
        <f t="shared" si="0"/>
        <v>15.85</v>
      </c>
      <c r="G13" s="299">
        <f t="shared" si="0"/>
        <v>11.3204</v>
      </c>
      <c r="H13" s="299">
        <f t="shared" si="0"/>
        <v>4.2</v>
      </c>
      <c r="I13" s="299">
        <f t="shared" si="0"/>
        <v>0</v>
      </c>
      <c r="J13" s="299">
        <f t="shared" si="0"/>
        <v>0.24359999999999996</v>
      </c>
      <c r="K13" s="299">
        <f t="shared" si="0"/>
        <v>6.876799999999999</v>
      </c>
      <c r="L13" s="299">
        <f t="shared" si="0"/>
        <v>0</v>
      </c>
      <c r="M13" s="299">
        <f t="shared" si="0"/>
        <v>0</v>
      </c>
      <c r="N13" s="299">
        <f t="shared" si="0"/>
        <v>0</v>
      </c>
      <c r="O13" s="299">
        <f t="shared" si="0"/>
        <v>0</v>
      </c>
      <c r="P13" s="299">
        <f t="shared" si="0"/>
        <v>0</v>
      </c>
      <c r="Q13" s="299">
        <f t="shared" si="0"/>
        <v>0</v>
      </c>
      <c r="R13" s="299">
        <f t="shared" si="0"/>
        <v>0</v>
      </c>
      <c r="S13" s="299">
        <f t="shared" si="0"/>
        <v>0</v>
      </c>
      <c r="T13" s="299">
        <f t="shared" si="0"/>
        <v>0</v>
      </c>
      <c r="U13" s="299">
        <f t="shared" si="0"/>
        <v>0</v>
      </c>
      <c r="V13" s="299">
        <f t="shared" si="0"/>
        <v>0</v>
      </c>
      <c r="W13" s="299">
        <f t="shared" si="0"/>
        <v>0</v>
      </c>
      <c r="X13" s="299">
        <f t="shared" si="0"/>
        <v>3.72475</v>
      </c>
      <c r="Y13" s="300">
        <f>ROUNDUP(SUM(Y14:Y19),-3)</f>
        <v>552406000</v>
      </c>
      <c r="Z13" s="301">
        <f>+Z19</f>
        <v>0</v>
      </c>
      <c r="AA13" s="301">
        <f>SUM(AA15:AA21)</f>
        <v>38.2512</v>
      </c>
      <c r="AB13" s="301">
        <f aca="true" t="shared" si="1" ref="AB13:AT13">SUM(AB15:AB21)</f>
        <v>19.81</v>
      </c>
      <c r="AC13" s="301">
        <f t="shared" si="1"/>
        <v>13.7036</v>
      </c>
      <c r="AD13" s="301">
        <f t="shared" si="1"/>
        <v>4.2</v>
      </c>
      <c r="AE13" s="301">
        <f t="shared" si="1"/>
        <v>0.35</v>
      </c>
      <c r="AF13" s="301">
        <f t="shared" si="1"/>
        <v>0</v>
      </c>
      <c r="AG13" s="301">
        <f t="shared" si="1"/>
        <v>8.909999999999998</v>
      </c>
      <c r="AH13" s="301">
        <f t="shared" si="1"/>
        <v>0</v>
      </c>
      <c r="AI13" s="301">
        <f t="shared" si="1"/>
        <v>0.24359999999999996</v>
      </c>
      <c r="AJ13" s="301">
        <f t="shared" si="1"/>
        <v>0</v>
      </c>
      <c r="AK13" s="301">
        <f t="shared" si="1"/>
        <v>0</v>
      </c>
      <c r="AL13" s="301">
        <f t="shared" si="1"/>
        <v>0</v>
      </c>
      <c r="AM13" s="301">
        <f t="shared" si="1"/>
        <v>0</v>
      </c>
      <c r="AN13" s="301">
        <f t="shared" si="1"/>
        <v>0</v>
      </c>
      <c r="AO13" s="301">
        <f t="shared" si="1"/>
        <v>0</v>
      </c>
      <c r="AP13" s="301">
        <f t="shared" si="1"/>
        <v>0</v>
      </c>
      <c r="AQ13" s="301">
        <f t="shared" si="1"/>
        <v>0</v>
      </c>
      <c r="AR13" s="301">
        <f t="shared" si="1"/>
        <v>0</v>
      </c>
      <c r="AS13" s="456">
        <f t="shared" si="1"/>
        <v>4.7376</v>
      </c>
      <c r="AT13" s="409">
        <f t="shared" si="1"/>
        <v>594752497.5</v>
      </c>
      <c r="AU13" s="30"/>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row>
    <row r="14" spans="1:75" ht="15.75">
      <c r="A14" s="302">
        <v>1</v>
      </c>
      <c r="B14" s="303" t="s">
        <v>180</v>
      </c>
      <c r="C14" s="445"/>
      <c r="D14" s="445"/>
      <c r="E14" s="304">
        <f aca="true" t="shared" si="2" ref="E14:E19">F14+G14+X14</f>
        <v>8.109499999999999</v>
      </c>
      <c r="F14" s="305">
        <v>4.06</v>
      </c>
      <c r="G14" s="304">
        <f aca="true" t="shared" si="3" ref="G14:G19">H14+I14+J14+K14+L14+M14+N14+O14+P14+Q14+R14+S14+T14+U14+W14</f>
        <v>3.0953999999999997</v>
      </c>
      <c r="H14" s="304">
        <v>0.7</v>
      </c>
      <c r="I14" s="304"/>
      <c r="J14" s="304">
        <f>0.06*F14</f>
        <v>0.24359999999999996</v>
      </c>
      <c r="K14" s="304">
        <f>(F14+I14+J14)*0.5</f>
        <v>2.1517999999999997</v>
      </c>
      <c r="L14" s="299"/>
      <c r="M14" s="299"/>
      <c r="N14" s="299"/>
      <c r="O14" s="299"/>
      <c r="P14" s="299"/>
      <c r="Q14" s="299"/>
      <c r="R14" s="299"/>
      <c r="S14" s="306"/>
      <c r="T14" s="299"/>
      <c r="U14" s="299"/>
      <c r="V14" s="299"/>
      <c r="W14" s="299"/>
      <c r="X14" s="304">
        <f aca="true" t="shared" si="4" ref="X14:X19">(F14+I14)*23.5%</f>
        <v>0.9540999999999998</v>
      </c>
      <c r="Y14" s="307">
        <f aca="true" t="shared" si="5" ref="Y14:Y19">ROUNDUP(E14*1490000*12,0)</f>
        <v>144997860</v>
      </c>
      <c r="Z14" s="308">
        <v>6</v>
      </c>
      <c r="AA14" s="308">
        <f>SUM(AA15:AA21)</f>
        <v>38.2512</v>
      </c>
      <c r="AB14" s="308">
        <f>SUM(AB15:AB21)</f>
        <v>19.81</v>
      </c>
      <c r="AC14" s="308">
        <f>SUM(AC15:AC21)</f>
        <v>13.7036</v>
      </c>
      <c r="AD14" s="308">
        <f>SUM(AD15:AD21)</f>
        <v>4.2</v>
      </c>
      <c r="AE14" s="308">
        <f>SUM(AE15:AE21)</f>
        <v>0.35</v>
      </c>
      <c r="AF14" s="308">
        <f aca="true" t="shared" si="6" ref="AF14:AR14">SUM(AF15:AF21)</f>
        <v>0</v>
      </c>
      <c r="AG14" s="308">
        <f>SUM(AG15:AG21)</f>
        <v>8.909999999999998</v>
      </c>
      <c r="AH14" s="308">
        <f t="shared" si="6"/>
        <v>0</v>
      </c>
      <c r="AI14" s="308">
        <f>SUM(AI15:AI21)</f>
        <v>0.24359999999999996</v>
      </c>
      <c r="AJ14" s="308">
        <f t="shared" si="6"/>
        <v>0</v>
      </c>
      <c r="AK14" s="308">
        <f t="shared" si="6"/>
        <v>0</v>
      </c>
      <c r="AL14" s="308">
        <f t="shared" si="6"/>
        <v>0</v>
      </c>
      <c r="AM14" s="308">
        <f t="shared" si="6"/>
        <v>0</v>
      </c>
      <c r="AN14" s="308">
        <f t="shared" si="6"/>
        <v>0</v>
      </c>
      <c r="AO14" s="308">
        <f t="shared" si="6"/>
        <v>0</v>
      </c>
      <c r="AP14" s="308">
        <f t="shared" si="6"/>
        <v>0</v>
      </c>
      <c r="AQ14" s="308">
        <f t="shared" si="6"/>
        <v>0</v>
      </c>
      <c r="AR14" s="308">
        <f t="shared" si="6"/>
        <v>0</v>
      </c>
      <c r="AS14" s="457">
        <f>SUM(AS15:AS21)</f>
        <v>4.7376</v>
      </c>
      <c r="AT14" s="408">
        <f>SUM(AT15:AT21)</f>
        <v>594752497.5</v>
      </c>
      <c r="AU14" s="28"/>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row>
    <row r="15" spans="1:75" ht="15.75">
      <c r="A15" s="302">
        <v>2</v>
      </c>
      <c r="B15" s="303" t="s">
        <v>179</v>
      </c>
      <c r="C15" s="445"/>
      <c r="D15" s="445"/>
      <c r="E15" s="304">
        <f t="shared" si="2"/>
        <v>4.7599</v>
      </c>
      <c r="F15" s="305">
        <v>2.34</v>
      </c>
      <c r="G15" s="304">
        <f t="shared" si="3"/>
        <v>1.8699999999999999</v>
      </c>
      <c r="H15" s="304">
        <v>0.7</v>
      </c>
      <c r="I15" s="304"/>
      <c r="J15" s="304"/>
      <c r="K15" s="304">
        <f>(F15+I15+J15)*0.5</f>
        <v>1.17</v>
      </c>
      <c r="L15" s="299"/>
      <c r="M15" s="299"/>
      <c r="N15" s="299"/>
      <c r="O15" s="299"/>
      <c r="P15" s="299"/>
      <c r="Q15" s="299"/>
      <c r="R15" s="299"/>
      <c r="S15" s="306"/>
      <c r="T15" s="299"/>
      <c r="U15" s="299"/>
      <c r="V15" s="299"/>
      <c r="W15" s="299"/>
      <c r="X15" s="304">
        <f t="shared" si="4"/>
        <v>0.5498999999999999</v>
      </c>
      <c r="Y15" s="307">
        <f t="shared" si="5"/>
        <v>85107012</v>
      </c>
      <c r="Z15" s="309"/>
      <c r="AA15" s="310">
        <f aca="true" t="shared" si="7" ref="AA15:AA21">AB15+AC15+AS15</f>
        <v>7.9876999999999985</v>
      </c>
      <c r="AB15" s="82">
        <v>4.06</v>
      </c>
      <c r="AC15" s="309">
        <f>SUM(AD15:AR15)</f>
        <v>2.9735999999999994</v>
      </c>
      <c r="AD15" s="311">
        <v>0.7</v>
      </c>
      <c r="AE15" s="309"/>
      <c r="AF15" s="309"/>
      <c r="AG15" s="312">
        <f>(AB15+AE15)*50%</f>
        <v>2.03</v>
      </c>
      <c r="AH15" s="309"/>
      <c r="AI15" s="86">
        <f>AB15*6%</f>
        <v>0.24359999999999996</v>
      </c>
      <c r="AJ15" s="309"/>
      <c r="AK15" s="309"/>
      <c r="AL15" s="309"/>
      <c r="AM15" s="309"/>
      <c r="AN15" s="309"/>
      <c r="AO15" s="309"/>
      <c r="AP15" s="309"/>
      <c r="AQ15" s="309"/>
      <c r="AR15" s="309"/>
      <c r="AS15" s="458">
        <f>(AB15+AE15)*23.5%</f>
        <v>0.9540999999999998</v>
      </c>
      <c r="AT15" s="314">
        <f>(AA15*9*1490000)+(8.41*1490000*3)</f>
        <v>144707757</v>
      </c>
      <c r="AU15" s="28"/>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row>
    <row r="16" spans="1:75" ht="15.75">
      <c r="A16" s="302">
        <v>3</v>
      </c>
      <c r="B16" s="303" t="s">
        <v>178</v>
      </c>
      <c r="C16" s="445"/>
      <c r="D16" s="445"/>
      <c r="E16" s="304">
        <f t="shared" si="2"/>
        <v>5.33245</v>
      </c>
      <c r="F16" s="305">
        <v>2.67</v>
      </c>
      <c r="G16" s="304">
        <f t="shared" si="3"/>
        <v>2.035</v>
      </c>
      <c r="H16" s="304">
        <v>0.7</v>
      </c>
      <c r="I16" s="304"/>
      <c r="J16" s="304"/>
      <c r="K16" s="304">
        <f>(F16+I16+J16)*0.5</f>
        <v>1.335</v>
      </c>
      <c r="L16" s="299"/>
      <c r="M16" s="299"/>
      <c r="N16" s="299"/>
      <c r="O16" s="299"/>
      <c r="P16" s="299"/>
      <c r="Q16" s="299"/>
      <c r="R16" s="299"/>
      <c r="S16" s="306"/>
      <c r="T16" s="299"/>
      <c r="U16" s="299"/>
      <c r="V16" s="299"/>
      <c r="W16" s="299"/>
      <c r="X16" s="304">
        <f t="shared" si="4"/>
        <v>0.62745</v>
      </c>
      <c r="Y16" s="307">
        <f t="shared" si="5"/>
        <v>95344206</v>
      </c>
      <c r="Z16" s="309"/>
      <c r="AA16" s="310">
        <f t="shared" si="7"/>
        <v>4.7599</v>
      </c>
      <c r="AB16" s="89">
        <v>2.34</v>
      </c>
      <c r="AC16" s="309">
        <f aca="true" t="shared" si="8" ref="AC16:AC21">SUM(AD16:AR16)</f>
        <v>1.8699999999999999</v>
      </c>
      <c r="AD16" s="311">
        <v>0.7</v>
      </c>
      <c r="AE16" s="309"/>
      <c r="AF16" s="309"/>
      <c r="AG16" s="312">
        <f aca="true" t="shared" si="9" ref="AG16:AG21">(AB16+AE16)*50%</f>
        <v>1.17</v>
      </c>
      <c r="AH16" s="309"/>
      <c r="AI16" s="309"/>
      <c r="AJ16" s="309"/>
      <c r="AK16" s="309"/>
      <c r="AL16" s="309"/>
      <c r="AM16" s="309"/>
      <c r="AN16" s="309"/>
      <c r="AO16" s="309"/>
      <c r="AP16" s="309"/>
      <c r="AQ16" s="309"/>
      <c r="AR16" s="309"/>
      <c r="AS16" s="458">
        <f aca="true" t="shared" si="10" ref="AS16:AS21">(AB16+AE16)*23.5%</f>
        <v>0.5498999999999999</v>
      </c>
      <c r="AT16" s="314">
        <f>AA16*12*1490000</f>
        <v>85107012</v>
      </c>
      <c r="AU16" s="28"/>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row>
    <row r="17" spans="1:75" ht="15.75">
      <c r="A17" s="302">
        <v>4</v>
      </c>
      <c r="B17" s="303" t="s">
        <v>177</v>
      </c>
      <c r="C17" s="445"/>
      <c r="D17" s="445"/>
      <c r="E17" s="304">
        <f t="shared" si="2"/>
        <v>4.7599</v>
      </c>
      <c r="F17" s="305">
        <v>2.34</v>
      </c>
      <c r="G17" s="304">
        <f t="shared" si="3"/>
        <v>1.8699999999999999</v>
      </c>
      <c r="H17" s="304">
        <v>0.7</v>
      </c>
      <c r="I17" s="304"/>
      <c r="J17" s="304"/>
      <c r="K17" s="304">
        <f>(F17+I17+J17)*0.5</f>
        <v>1.17</v>
      </c>
      <c r="L17" s="299"/>
      <c r="M17" s="299"/>
      <c r="N17" s="299"/>
      <c r="O17" s="299"/>
      <c r="P17" s="299"/>
      <c r="Q17" s="299"/>
      <c r="R17" s="299"/>
      <c r="S17" s="306"/>
      <c r="T17" s="299"/>
      <c r="U17" s="299"/>
      <c r="V17" s="299"/>
      <c r="W17" s="299"/>
      <c r="X17" s="304">
        <f t="shared" si="4"/>
        <v>0.5498999999999999</v>
      </c>
      <c r="Y17" s="307">
        <f t="shared" si="5"/>
        <v>85107012</v>
      </c>
      <c r="Z17" s="309"/>
      <c r="AA17" s="310">
        <f t="shared" si="7"/>
        <v>4.7599</v>
      </c>
      <c r="AB17" s="89">
        <v>2.34</v>
      </c>
      <c r="AC17" s="309">
        <f t="shared" si="8"/>
        <v>1.8699999999999999</v>
      </c>
      <c r="AD17" s="311">
        <v>0.7</v>
      </c>
      <c r="AE17" s="309"/>
      <c r="AF17" s="309"/>
      <c r="AG17" s="312">
        <f t="shared" si="9"/>
        <v>1.17</v>
      </c>
      <c r="AH17" s="309"/>
      <c r="AI17" s="309"/>
      <c r="AJ17" s="309"/>
      <c r="AK17" s="309"/>
      <c r="AL17" s="309"/>
      <c r="AM17" s="309"/>
      <c r="AN17" s="309"/>
      <c r="AO17" s="309"/>
      <c r="AP17" s="309"/>
      <c r="AQ17" s="309"/>
      <c r="AR17" s="309"/>
      <c r="AS17" s="458">
        <f t="shared" si="10"/>
        <v>0.5498999999999999</v>
      </c>
      <c r="AT17" s="314">
        <f>AA17*12*1490000</f>
        <v>85107012</v>
      </c>
      <c r="AU17" s="28"/>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row>
    <row r="18" spans="1:75" ht="15.75">
      <c r="A18" s="302">
        <v>5</v>
      </c>
      <c r="B18" s="303" t="s">
        <v>176</v>
      </c>
      <c r="C18" s="445"/>
      <c r="D18" s="445"/>
      <c r="E18" s="304">
        <f t="shared" si="2"/>
        <v>4.3435</v>
      </c>
      <c r="F18" s="305">
        <v>2.1</v>
      </c>
      <c r="G18" s="304">
        <f t="shared" si="3"/>
        <v>1.75</v>
      </c>
      <c r="H18" s="304">
        <v>0.7</v>
      </c>
      <c r="I18" s="304"/>
      <c r="J18" s="304"/>
      <c r="K18" s="304">
        <f>(F18+I18+J18)*0.5</f>
        <v>1.05</v>
      </c>
      <c r="L18" s="299"/>
      <c r="M18" s="299"/>
      <c r="N18" s="299"/>
      <c r="O18" s="299"/>
      <c r="P18" s="299"/>
      <c r="Q18" s="299"/>
      <c r="R18" s="299"/>
      <c r="S18" s="306"/>
      <c r="T18" s="299"/>
      <c r="U18" s="299"/>
      <c r="V18" s="299"/>
      <c r="W18" s="299"/>
      <c r="X18" s="304">
        <f t="shared" si="4"/>
        <v>0.4935</v>
      </c>
      <c r="Y18" s="307">
        <f t="shared" si="5"/>
        <v>77661780</v>
      </c>
      <c r="Z18" s="309"/>
      <c r="AA18" s="310">
        <f t="shared" si="7"/>
        <v>4.3435</v>
      </c>
      <c r="AB18" s="89">
        <v>2.1</v>
      </c>
      <c r="AC18" s="309">
        <f t="shared" si="8"/>
        <v>1.75</v>
      </c>
      <c r="AD18" s="311">
        <v>0.7</v>
      </c>
      <c r="AE18" s="309"/>
      <c r="AF18" s="309"/>
      <c r="AG18" s="312">
        <f t="shared" si="9"/>
        <v>1.05</v>
      </c>
      <c r="AH18" s="309"/>
      <c r="AI18" s="309"/>
      <c r="AJ18" s="309"/>
      <c r="AK18" s="309"/>
      <c r="AL18" s="309"/>
      <c r="AM18" s="309"/>
      <c r="AN18" s="309"/>
      <c r="AO18" s="309"/>
      <c r="AP18" s="309"/>
      <c r="AQ18" s="309"/>
      <c r="AR18" s="309"/>
      <c r="AS18" s="458">
        <f t="shared" si="10"/>
        <v>0.4935</v>
      </c>
      <c r="AT18" s="314">
        <f>AA18*12*1490000</f>
        <v>77661780</v>
      </c>
      <c r="AU18" s="28"/>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row>
    <row r="19" spans="1:75" ht="15.75">
      <c r="A19" s="302">
        <v>6</v>
      </c>
      <c r="B19" s="303" t="s">
        <v>175</v>
      </c>
      <c r="C19" s="445"/>
      <c r="D19" s="445"/>
      <c r="E19" s="304">
        <f t="shared" si="2"/>
        <v>3.5899</v>
      </c>
      <c r="F19" s="305">
        <v>2.34</v>
      </c>
      <c r="G19" s="304">
        <f t="shared" si="3"/>
        <v>0.7</v>
      </c>
      <c r="H19" s="304">
        <v>0.7</v>
      </c>
      <c r="I19" s="304"/>
      <c r="J19" s="304"/>
      <c r="K19" s="304"/>
      <c r="L19" s="299"/>
      <c r="M19" s="299"/>
      <c r="N19" s="299"/>
      <c r="O19" s="299"/>
      <c r="P19" s="299"/>
      <c r="Q19" s="299"/>
      <c r="R19" s="299"/>
      <c r="S19" s="306"/>
      <c r="T19" s="299"/>
      <c r="U19" s="299"/>
      <c r="V19" s="299"/>
      <c r="W19" s="299"/>
      <c r="X19" s="304">
        <f t="shared" si="4"/>
        <v>0.5498999999999999</v>
      </c>
      <c r="Y19" s="307">
        <f t="shared" si="5"/>
        <v>64187412</v>
      </c>
      <c r="Z19" s="309"/>
      <c r="AA19" s="310">
        <f t="shared" si="7"/>
        <v>5.33245</v>
      </c>
      <c r="AB19" s="89">
        <v>2.67</v>
      </c>
      <c r="AC19" s="309">
        <f t="shared" si="8"/>
        <v>2.035</v>
      </c>
      <c r="AD19" s="311">
        <v>0.7</v>
      </c>
      <c r="AE19" s="309"/>
      <c r="AF19" s="309"/>
      <c r="AG19" s="312">
        <f t="shared" si="9"/>
        <v>1.335</v>
      </c>
      <c r="AH19" s="309"/>
      <c r="AI19" s="309"/>
      <c r="AJ19" s="309"/>
      <c r="AK19" s="309"/>
      <c r="AL19" s="309"/>
      <c r="AM19" s="309"/>
      <c r="AN19" s="309"/>
      <c r="AO19" s="309"/>
      <c r="AP19" s="309"/>
      <c r="AQ19" s="309"/>
      <c r="AR19" s="309"/>
      <c r="AS19" s="458">
        <f t="shared" si="10"/>
        <v>0.62745</v>
      </c>
      <c r="AT19" s="314">
        <f>AA19*12*1490000</f>
        <v>95344206</v>
      </c>
      <c r="AU19" s="28"/>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row>
    <row r="20" spans="1:47" s="29" customFormat="1" ht="15.75">
      <c r="A20" s="297">
        <v>6</v>
      </c>
      <c r="B20" s="315" t="s">
        <v>16</v>
      </c>
      <c r="C20" s="445">
        <v>6</v>
      </c>
      <c r="D20" s="445">
        <v>5</v>
      </c>
      <c r="E20" s="299">
        <f>E21</f>
        <v>25.5203</v>
      </c>
      <c r="F20" s="299">
        <f aca="true" t="shared" si="11" ref="F20:X20">F21</f>
        <v>14.75</v>
      </c>
      <c r="G20" s="299">
        <f t="shared" si="11"/>
        <v>10.804999999999998</v>
      </c>
      <c r="H20" s="299">
        <f t="shared" si="11"/>
        <v>4.2</v>
      </c>
      <c r="I20" s="299">
        <f t="shared" si="11"/>
        <v>0</v>
      </c>
      <c r="J20" s="299">
        <f t="shared" si="11"/>
        <v>0</v>
      </c>
      <c r="K20" s="299">
        <f t="shared" si="11"/>
        <v>6.205</v>
      </c>
      <c r="L20" s="299">
        <f t="shared" si="11"/>
        <v>0</v>
      </c>
      <c r="M20" s="299">
        <f t="shared" si="11"/>
        <v>0</v>
      </c>
      <c r="N20" s="299">
        <f t="shared" si="11"/>
        <v>0</v>
      </c>
      <c r="O20" s="299">
        <f t="shared" si="11"/>
        <v>0</v>
      </c>
      <c r="P20" s="299">
        <f t="shared" si="11"/>
        <v>0</v>
      </c>
      <c r="Q20" s="299">
        <f t="shared" si="11"/>
        <v>0</v>
      </c>
      <c r="R20" s="299">
        <f t="shared" si="11"/>
        <v>0</v>
      </c>
      <c r="S20" s="299">
        <f t="shared" si="11"/>
        <v>0</v>
      </c>
      <c r="T20" s="299">
        <f t="shared" si="11"/>
        <v>0</v>
      </c>
      <c r="U20" s="299">
        <f t="shared" si="11"/>
        <v>0</v>
      </c>
      <c r="V20" s="299">
        <f t="shared" si="11"/>
        <v>0</v>
      </c>
      <c r="W20" s="299">
        <f t="shared" si="11"/>
        <v>0.4</v>
      </c>
      <c r="X20" s="299">
        <f t="shared" si="11"/>
        <v>3.44285</v>
      </c>
      <c r="Y20" s="300">
        <f>ROUNDUP(Y21,-3)</f>
        <v>456303000</v>
      </c>
      <c r="Z20" s="309"/>
      <c r="AA20" s="310">
        <f t="shared" si="7"/>
        <v>2.8899</v>
      </c>
      <c r="AB20" s="82">
        <v>2.34</v>
      </c>
      <c r="AC20" s="309">
        <f t="shared" si="8"/>
        <v>0</v>
      </c>
      <c r="AD20" s="311"/>
      <c r="AE20" s="309"/>
      <c r="AF20" s="309"/>
      <c r="AG20" s="312"/>
      <c r="AH20" s="309"/>
      <c r="AI20" s="309"/>
      <c r="AJ20" s="309"/>
      <c r="AK20" s="309"/>
      <c r="AL20" s="309"/>
      <c r="AM20" s="309"/>
      <c r="AN20" s="309"/>
      <c r="AO20" s="309"/>
      <c r="AP20" s="309"/>
      <c r="AQ20" s="309"/>
      <c r="AR20" s="309"/>
      <c r="AS20" s="458">
        <f t="shared" si="10"/>
        <v>0.5498999999999999</v>
      </c>
      <c r="AT20" s="314">
        <f>AA20*5*1490000</f>
        <v>21529755</v>
      </c>
      <c r="AU20" s="30"/>
    </row>
    <row r="21" spans="1:47" s="26" customFormat="1" ht="31.5">
      <c r="A21" s="316" t="s">
        <v>254</v>
      </c>
      <c r="B21" s="296" t="s">
        <v>279</v>
      </c>
      <c r="C21" s="445"/>
      <c r="D21" s="445"/>
      <c r="E21" s="299">
        <f>SUM(E22:E27)</f>
        <v>25.5203</v>
      </c>
      <c r="F21" s="299">
        <f aca="true" t="shared" si="12" ref="F21:X21">SUM(F22:F27)</f>
        <v>14.75</v>
      </c>
      <c r="G21" s="299">
        <f t="shared" si="12"/>
        <v>10.804999999999998</v>
      </c>
      <c r="H21" s="299">
        <f t="shared" si="12"/>
        <v>4.2</v>
      </c>
      <c r="I21" s="299">
        <f t="shared" si="12"/>
        <v>0</v>
      </c>
      <c r="J21" s="299">
        <f t="shared" si="12"/>
        <v>0</v>
      </c>
      <c r="K21" s="299">
        <f t="shared" si="12"/>
        <v>6.205</v>
      </c>
      <c r="L21" s="299">
        <f t="shared" si="12"/>
        <v>0</v>
      </c>
      <c r="M21" s="299">
        <f t="shared" si="12"/>
        <v>0</v>
      </c>
      <c r="N21" s="299">
        <f t="shared" si="12"/>
        <v>0</v>
      </c>
      <c r="O21" s="299">
        <f t="shared" si="12"/>
        <v>0</v>
      </c>
      <c r="P21" s="299">
        <f t="shared" si="12"/>
        <v>0</v>
      </c>
      <c r="Q21" s="299">
        <f t="shared" si="12"/>
        <v>0</v>
      </c>
      <c r="R21" s="299">
        <f t="shared" si="12"/>
        <v>0</v>
      </c>
      <c r="S21" s="299">
        <f t="shared" si="12"/>
        <v>0</v>
      </c>
      <c r="T21" s="299">
        <f t="shared" si="12"/>
        <v>0</v>
      </c>
      <c r="U21" s="299">
        <f t="shared" si="12"/>
        <v>0</v>
      </c>
      <c r="V21" s="299">
        <f t="shared" si="12"/>
        <v>0</v>
      </c>
      <c r="W21" s="299">
        <f t="shared" si="12"/>
        <v>0.4</v>
      </c>
      <c r="X21" s="299">
        <f t="shared" si="12"/>
        <v>3.44285</v>
      </c>
      <c r="Y21" s="318">
        <f>ROUNDUP(SUM(Y22:Y27),-3)</f>
        <v>456303000</v>
      </c>
      <c r="Z21" s="309"/>
      <c r="AA21" s="310">
        <f t="shared" si="7"/>
        <v>8.17785</v>
      </c>
      <c r="AB21" s="82">
        <v>3.96</v>
      </c>
      <c r="AC21" s="309">
        <f t="shared" si="8"/>
        <v>3.2049999999999996</v>
      </c>
      <c r="AD21" s="311">
        <v>0.7</v>
      </c>
      <c r="AE21" s="309">
        <v>0.35</v>
      </c>
      <c r="AF21" s="309"/>
      <c r="AG21" s="312">
        <f t="shared" si="9"/>
        <v>2.155</v>
      </c>
      <c r="AH21" s="309"/>
      <c r="AI21" s="309"/>
      <c r="AJ21" s="309"/>
      <c r="AK21" s="309"/>
      <c r="AL21" s="309"/>
      <c r="AM21" s="309"/>
      <c r="AN21" s="309"/>
      <c r="AO21" s="309"/>
      <c r="AP21" s="309"/>
      <c r="AQ21" s="309"/>
      <c r="AR21" s="309"/>
      <c r="AS21" s="458">
        <f t="shared" si="10"/>
        <v>1.0128499999999998</v>
      </c>
      <c r="AT21" s="314">
        <f>AA21*7*1490000</f>
        <v>85294975.5</v>
      </c>
      <c r="AU21" s="28"/>
    </row>
    <row r="22" spans="1:47" s="31" customFormat="1" ht="34.5" customHeight="1">
      <c r="A22" s="302">
        <v>1</v>
      </c>
      <c r="B22" s="367" t="s">
        <v>280</v>
      </c>
      <c r="C22" s="446"/>
      <c r="D22" s="446"/>
      <c r="E22" s="304">
        <f>F22+G22+X22</f>
        <v>4.7364999999999995</v>
      </c>
      <c r="F22" s="305">
        <v>2.34</v>
      </c>
      <c r="G22" s="304">
        <f aca="true" t="shared" si="13" ref="G22:G27">H22+I22+J22+K22+L22+M22+N22+O22+P22+Q22+R22+S22+T22+U22+W22</f>
        <v>1.8699999999999999</v>
      </c>
      <c r="H22" s="304">
        <v>0.7</v>
      </c>
      <c r="I22" s="304"/>
      <c r="J22" s="319"/>
      <c r="K22" s="304">
        <f>(F22+I22+J22)*0.5</f>
        <v>1.17</v>
      </c>
      <c r="L22" s="304"/>
      <c r="M22" s="304"/>
      <c r="N22" s="304"/>
      <c r="O22" s="304"/>
      <c r="P22" s="304"/>
      <c r="Q22" s="304"/>
      <c r="R22" s="304"/>
      <c r="S22" s="305"/>
      <c r="T22" s="304"/>
      <c r="U22" s="304"/>
      <c r="V22" s="304"/>
      <c r="W22" s="304"/>
      <c r="X22" s="304">
        <f>(F22+I22+J22+M22)*0.225</f>
        <v>0.5265</v>
      </c>
      <c r="Y22" s="307">
        <f>E22*1490000*12</f>
        <v>84688619.99999999</v>
      </c>
      <c r="Z22" s="301"/>
      <c r="AA22" s="320">
        <f>AA23</f>
        <v>29.81335</v>
      </c>
      <c r="AB22" s="320">
        <f aca="true" t="shared" si="14" ref="AB22:AS22">AB23</f>
        <v>15.41</v>
      </c>
      <c r="AC22" s="320">
        <f t="shared" si="14"/>
        <v>10.735</v>
      </c>
      <c r="AD22" s="320">
        <f t="shared" si="14"/>
        <v>3.5</v>
      </c>
      <c r="AE22" s="320">
        <f t="shared" si="14"/>
        <v>0.2</v>
      </c>
      <c r="AF22" s="320">
        <f t="shared" si="14"/>
        <v>0</v>
      </c>
      <c r="AG22" s="320">
        <f t="shared" si="14"/>
        <v>6.635000000000001</v>
      </c>
      <c r="AH22" s="320">
        <f t="shared" si="14"/>
        <v>0</v>
      </c>
      <c r="AI22" s="320">
        <f t="shared" si="14"/>
        <v>0</v>
      </c>
      <c r="AJ22" s="320">
        <f t="shared" si="14"/>
        <v>0</v>
      </c>
      <c r="AK22" s="320">
        <f t="shared" si="14"/>
        <v>0</v>
      </c>
      <c r="AL22" s="320">
        <f t="shared" si="14"/>
        <v>0</v>
      </c>
      <c r="AM22" s="320">
        <f t="shared" si="14"/>
        <v>0</v>
      </c>
      <c r="AN22" s="320">
        <f t="shared" si="14"/>
        <v>0</v>
      </c>
      <c r="AO22" s="320">
        <f t="shared" si="14"/>
        <v>0</v>
      </c>
      <c r="AP22" s="320">
        <f t="shared" si="14"/>
        <v>0</v>
      </c>
      <c r="AQ22" s="320">
        <f t="shared" si="14"/>
        <v>0</v>
      </c>
      <c r="AR22" s="320">
        <f t="shared" si="14"/>
        <v>0.4</v>
      </c>
      <c r="AS22" s="459">
        <f t="shared" si="14"/>
        <v>3.66835</v>
      </c>
      <c r="AT22" s="322">
        <f>AT23</f>
        <v>523951273.5</v>
      </c>
      <c r="AU22" s="27"/>
    </row>
    <row r="23" spans="1:47" s="31" customFormat="1" ht="15.75">
      <c r="A23" s="302">
        <v>2</v>
      </c>
      <c r="B23" s="303" t="s">
        <v>250</v>
      </c>
      <c r="C23" s="446"/>
      <c r="D23" s="446"/>
      <c r="E23" s="304">
        <f>F23+G23+X23</f>
        <v>4.4741</v>
      </c>
      <c r="F23" s="305">
        <v>2.06</v>
      </c>
      <c r="G23" s="304">
        <f t="shared" si="13"/>
        <v>1.93</v>
      </c>
      <c r="H23" s="304">
        <v>0.7</v>
      </c>
      <c r="I23" s="304"/>
      <c r="J23" s="304"/>
      <c r="K23" s="304">
        <f>(F23+I23+J23)*0.5</f>
        <v>1.03</v>
      </c>
      <c r="L23" s="304"/>
      <c r="M23" s="304"/>
      <c r="N23" s="304"/>
      <c r="O23" s="304"/>
      <c r="P23" s="304"/>
      <c r="Q23" s="304"/>
      <c r="R23" s="304"/>
      <c r="S23" s="305"/>
      <c r="T23" s="304"/>
      <c r="U23" s="304"/>
      <c r="V23" s="304"/>
      <c r="W23" s="304">
        <v>0.2</v>
      </c>
      <c r="X23" s="304">
        <f>(F23+I23+J23+M23)*0.235</f>
        <v>0.4841</v>
      </c>
      <c r="Y23" s="307">
        <f>E23*1490000*12</f>
        <v>79996908</v>
      </c>
      <c r="Z23" s="320">
        <v>6</v>
      </c>
      <c r="AA23" s="321">
        <f>SUM(AA24:AA29)</f>
        <v>29.81335</v>
      </c>
      <c r="AB23" s="321">
        <f>SUM(AB24:AB29)</f>
        <v>15.41</v>
      </c>
      <c r="AC23" s="321">
        <f>SUM(AC24:AC29)</f>
        <v>10.735</v>
      </c>
      <c r="AD23" s="321">
        <f>SUM(AD24:AD29)</f>
        <v>3.5</v>
      </c>
      <c r="AE23" s="321">
        <f>SUM(AE24:AE29)</f>
        <v>0.2</v>
      </c>
      <c r="AF23" s="321">
        <f aca="true" t="shared" si="15" ref="AF23:AT23">SUM(AF24:AF29)</f>
        <v>0</v>
      </c>
      <c r="AG23" s="321">
        <f>SUM(AG24:AG29)</f>
        <v>6.635000000000001</v>
      </c>
      <c r="AH23" s="321">
        <f t="shared" si="15"/>
        <v>0</v>
      </c>
      <c r="AI23" s="321">
        <f t="shared" si="15"/>
        <v>0</v>
      </c>
      <c r="AJ23" s="321">
        <f t="shared" si="15"/>
        <v>0</v>
      </c>
      <c r="AK23" s="321">
        <f t="shared" si="15"/>
        <v>0</v>
      </c>
      <c r="AL23" s="321">
        <f t="shared" si="15"/>
        <v>0</v>
      </c>
      <c r="AM23" s="321">
        <f t="shared" si="15"/>
        <v>0</v>
      </c>
      <c r="AN23" s="321">
        <f t="shared" si="15"/>
        <v>0</v>
      </c>
      <c r="AO23" s="321">
        <f t="shared" si="15"/>
        <v>0</v>
      </c>
      <c r="AP23" s="321">
        <f t="shared" si="15"/>
        <v>0</v>
      </c>
      <c r="AQ23" s="321">
        <f t="shared" si="15"/>
        <v>0</v>
      </c>
      <c r="AR23" s="321">
        <f>SUM(AR24:AR29)</f>
        <v>0.4</v>
      </c>
      <c r="AS23" s="460">
        <f>SUM(AS24:AS29)</f>
        <v>3.66835</v>
      </c>
      <c r="AT23" s="482">
        <f t="shared" si="15"/>
        <v>523951273.5</v>
      </c>
      <c r="AU23" s="27"/>
    </row>
    <row r="24" spans="1:47" s="31" customFormat="1" ht="15.75">
      <c r="A24" s="302">
        <v>3</v>
      </c>
      <c r="B24" s="303" t="s">
        <v>247</v>
      </c>
      <c r="C24" s="446"/>
      <c r="D24" s="446"/>
      <c r="E24" s="304">
        <f>F24+G24+X24</f>
        <v>4.9599</v>
      </c>
      <c r="F24" s="305">
        <v>2.34</v>
      </c>
      <c r="G24" s="304">
        <f t="shared" si="13"/>
        <v>2.07</v>
      </c>
      <c r="H24" s="304">
        <v>0.7</v>
      </c>
      <c r="I24" s="304"/>
      <c r="J24" s="304"/>
      <c r="K24" s="304">
        <f>(F24+I24+J24)*0.5</f>
        <v>1.17</v>
      </c>
      <c r="L24" s="304"/>
      <c r="M24" s="304"/>
      <c r="N24" s="304"/>
      <c r="O24" s="304"/>
      <c r="P24" s="304"/>
      <c r="Q24" s="304"/>
      <c r="R24" s="304"/>
      <c r="S24" s="305"/>
      <c r="T24" s="304"/>
      <c r="U24" s="304"/>
      <c r="V24" s="304"/>
      <c r="W24" s="304">
        <v>0.2</v>
      </c>
      <c r="X24" s="304">
        <f>(F24+I24+J24+M24)*0.235</f>
        <v>0.5498999999999999</v>
      </c>
      <c r="Y24" s="307">
        <f>E24*1490000*12</f>
        <v>88683012</v>
      </c>
      <c r="Z24" s="322"/>
      <c r="AA24" s="323">
        <f aca="true" t="shared" si="16" ref="AA24:AA29">AB24+AC24+AS24</f>
        <v>5.53245</v>
      </c>
      <c r="AB24" s="324">
        <v>2.67</v>
      </c>
      <c r="AC24" s="309">
        <f aca="true" t="shared" si="17" ref="AC24:AC29">SUM(AD24:AR24)</f>
        <v>2.2350000000000003</v>
      </c>
      <c r="AD24" s="311">
        <v>0.7</v>
      </c>
      <c r="AE24" s="313"/>
      <c r="AF24" s="322"/>
      <c r="AG24" s="312">
        <f>(AB24+AE24)*50%</f>
        <v>1.335</v>
      </c>
      <c r="AH24" s="322"/>
      <c r="AI24" s="322"/>
      <c r="AJ24" s="322"/>
      <c r="AK24" s="322"/>
      <c r="AL24" s="322"/>
      <c r="AM24" s="322"/>
      <c r="AN24" s="322"/>
      <c r="AO24" s="322"/>
      <c r="AP24" s="322"/>
      <c r="AQ24" s="322"/>
      <c r="AR24" s="313">
        <v>0.2</v>
      </c>
      <c r="AS24" s="458">
        <f aca="true" t="shared" si="18" ref="AS24:AS29">(AB24+AE24)*23.5%</f>
        <v>0.62745</v>
      </c>
      <c r="AT24" s="314">
        <f>(AA24*8*1490000)+(4.96*4*1490000)</f>
        <v>95508404</v>
      </c>
      <c r="AU24" s="27"/>
    </row>
    <row r="25" spans="1:47" s="31" customFormat="1" ht="15.75">
      <c r="A25" s="302">
        <v>4</v>
      </c>
      <c r="B25" s="303" t="s">
        <v>281</v>
      </c>
      <c r="C25" s="446"/>
      <c r="D25" s="446"/>
      <c r="E25" s="304">
        <v>3</v>
      </c>
      <c r="F25" s="305">
        <v>3.33</v>
      </c>
      <c r="G25" s="304">
        <f t="shared" si="13"/>
        <v>2.365</v>
      </c>
      <c r="H25" s="304">
        <v>0.7</v>
      </c>
      <c r="I25" s="304"/>
      <c r="J25" s="304"/>
      <c r="K25" s="304">
        <f>(F25+I25+J25)*0.5</f>
        <v>1.665</v>
      </c>
      <c r="L25" s="304"/>
      <c r="M25" s="304"/>
      <c r="N25" s="304"/>
      <c r="O25" s="304"/>
      <c r="P25" s="304"/>
      <c r="Q25" s="304"/>
      <c r="R25" s="304"/>
      <c r="S25" s="305"/>
      <c r="T25" s="304"/>
      <c r="U25" s="304"/>
      <c r="V25" s="304"/>
      <c r="W25" s="304"/>
      <c r="X25" s="304">
        <f>(F25+I25+J25+M25)*0.235</f>
        <v>0.78255</v>
      </c>
      <c r="Y25" s="307">
        <f>E25*1490000*12</f>
        <v>53640000</v>
      </c>
      <c r="Z25" s="322"/>
      <c r="AA25" s="323">
        <f t="shared" si="16"/>
        <v>5.67945</v>
      </c>
      <c r="AB25" s="324">
        <v>2.67</v>
      </c>
      <c r="AC25" s="309">
        <f t="shared" si="17"/>
        <v>2.335</v>
      </c>
      <c r="AD25" s="311">
        <v>0.7</v>
      </c>
      <c r="AE25" s="313">
        <v>0.2</v>
      </c>
      <c r="AF25" s="322"/>
      <c r="AG25" s="312">
        <f>(AB25+AE25)*50%</f>
        <v>1.435</v>
      </c>
      <c r="AH25" s="322"/>
      <c r="AI25" s="322"/>
      <c r="AJ25" s="322"/>
      <c r="AK25" s="322"/>
      <c r="AL25" s="322"/>
      <c r="AM25" s="322"/>
      <c r="AN25" s="322"/>
      <c r="AO25" s="322"/>
      <c r="AP25" s="322"/>
      <c r="AQ25" s="322"/>
      <c r="AR25" s="313"/>
      <c r="AS25" s="458">
        <f t="shared" si="18"/>
        <v>0.67445</v>
      </c>
      <c r="AT25" s="314">
        <f>(AA25*7*1490000)+(4.76*4*1490000)+(5.532*1490000*1)</f>
        <v>95848943.5</v>
      </c>
      <c r="AU25" s="27"/>
    </row>
    <row r="26" spans="1:47" s="26" customFormat="1" ht="15.75">
      <c r="A26" s="302">
        <v>6</v>
      </c>
      <c r="B26" s="303" t="s">
        <v>175</v>
      </c>
      <c r="C26" s="445"/>
      <c r="D26" s="445"/>
      <c r="E26" s="304">
        <f>F26+G26+X26</f>
        <v>3.5899</v>
      </c>
      <c r="F26" s="305">
        <v>2.34</v>
      </c>
      <c r="G26" s="304">
        <f t="shared" si="13"/>
        <v>0.7</v>
      </c>
      <c r="H26" s="304">
        <v>0.7</v>
      </c>
      <c r="I26" s="304"/>
      <c r="J26" s="304"/>
      <c r="K26" s="304"/>
      <c r="L26" s="299"/>
      <c r="M26" s="299"/>
      <c r="N26" s="299"/>
      <c r="O26" s="299"/>
      <c r="P26" s="299"/>
      <c r="Q26" s="299"/>
      <c r="R26" s="299"/>
      <c r="S26" s="306"/>
      <c r="T26" s="299"/>
      <c r="U26" s="299"/>
      <c r="V26" s="299"/>
      <c r="W26" s="299"/>
      <c r="X26" s="304">
        <f>(F26+I26)*23.5%</f>
        <v>0.5498999999999999</v>
      </c>
      <c r="Y26" s="307">
        <f>ROUNDUP(E26*1490000*12,0)</f>
        <v>64187412</v>
      </c>
      <c r="Z26" s="322"/>
      <c r="AA26" s="323">
        <f t="shared" si="16"/>
        <v>4.7599</v>
      </c>
      <c r="AB26" s="324">
        <v>2.34</v>
      </c>
      <c r="AC26" s="309">
        <f t="shared" si="17"/>
        <v>1.8699999999999999</v>
      </c>
      <c r="AD26" s="311">
        <v>0.7</v>
      </c>
      <c r="AE26" s="313"/>
      <c r="AF26" s="322"/>
      <c r="AG26" s="312">
        <f>(AB26+AE26)*50%</f>
        <v>1.17</v>
      </c>
      <c r="AH26" s="322"/>
      <c r="AI26" s="322"/>
      <c r="AJ26" s="322"/>
      <c r="AK26" s="322"/>
      <c r="AL26" s="322"/>
      <c r="AM26" s="322"/>
      <c r="AN26" s="322"/>
      <c r="AO26" s="322"/>
      <c r="AP26" s="322"/>
      <c r="AQ26" s="322"/>
      <c r="AR26" s="313"/>
      <c r="AS26" s="458">
        <f>(AB26+AE26)*23.5%</f>
        <v>0.5498999999999999</v>
      </c>
      <c r="AT26" s="314">
        <f>AA26*12*1490000</f>
        <v>85107012</v>
      </c>
      <c r="AU26" s="28"/>
    </row>
    <row r="27" spans="1:47" s="31" customFormat="1" ht="15.75">
      <c r="A27" s="302">
        <v>5</v>
      </c>
      <c r="B27" s="303" t="s">
        <v>248</v>
      </c>
      <c r="C27" s="446"/>
      <c r="D27" s="446"/>
      <c r="E27" s="304">
        <f>F27+G27+X27</f>
        <v>4.7599</v>
      </c>
      <c r="F27" s="305">
        <v>2.34</v>
      </c>
      <c r="G27" s="304">
        <f t="shared" si="13"/>
        <v>1.8699999999999999</v>
      </c>
      <c r="H27" s="304">
        <v>0.7</v>
      </c>
      <c r="I27" s="304"/>
      <c r="J27" s="304"/>
      <c r="K27" s="304">
        <f>(F27+I27+J27)*0.5</f>
        <v>1.17</v>
      </c>
      <c r="L27" s="304"/>
      <c r="M27" s="304"/>
      <c r="N27" s="304"/>
      <c r="O27" s="304"/>
      <c r="P27" s="304"/>
      <c r="Q27" s="304"/>
      <c r="R27" s="304"/>
      <c r="S27" s="305"/>
      <c r="T27" s="304"/>
      <c r="U27" s="304"/>
      <c r="V27" s="304"/>
      <c r="W27" s="304"/>
      <c r="X27" s="304">
        <f>(F27+I27+J27+M27)*0.235</f>
        <v>0.5498999999999999</v>
      </c>
      <c r="Y27" s="307">
        <f>E27*1490000*12</f>
        <v>85107012</v>
      </c>
      <c r="Z27" s="322"/>
      <c r="AA27" s="323">
        <f t="shared" si="16"/>
        <v>6.47755</v>
      </c>
      <c r="AB27" s="324">
        <v>3.33</v>
      </c>
      <c r="AC27" s="309">
        <f t="shared" si="17"/>
        <v>2.365</v>
      </c>
      <c r="AD27" s="311">
        <v>0.7</v>
      </c>
      <c r="AE27" s="313"/>
      <c r="AF27" s="322"/>
      <c r="AG27" s="312">
        <f>(AB27+AE27)*50%</f>
        <v>1.665</v>
      </c>
      <c r="AH27" s="322"/>
      <c r="AI27" s="322"/>
      <c r="AJ27" s="322"/>
      <c r="AK27" s="322"/>
      <c r="AL27" s="322"/>
      <c r="AM27" s="322"/>
      <c r="AN27" s="322"/>
      <c r="AO27" s="322"/>
      <c r="AP27" s="322"/>
      <c r="AQ27" s="322"/>
      <c r="AR27" s="313"/>
      <c r="AS27" s="458">
        <f>(AB27+AE27)*23.5%</f>
        <v>0.78255</v>
      </c>
      <c r="AT27" s="314">
        <f>AA27*12*1490000</f>
        <v>115818594</v>
      </c>
      <c r="AU27" s="27"/>
    </row>
    <row r="28" spans="1:75" ht="15.75">
      <c r="A28" s="295">
        <v>6</v>
      </c>
      <c r="B28" s="296" t="s">
        <v>174</v>
      </c>
      <c r="C28" s="444"/>
      <c r="D28" s="444"/>
      <c r="E28" s="304"/>
      <c r="F28" s="326"/>
      <c r="G28" s="304"/>
      <c r="H28" s="325"/>
      <c r="I28" s="325"/>
      <c r="J28" s="325"/>
      <c r="K28" s="304"/>
      <c r="L28" s="325"/>
      <c r="M28" s="325"/>
      <c r="N28" s="325"/>
      <c r="O28" s="325"/>
      <c r="P28" s="325"/>
      <c r="Q28" s="325"/>
      <c r="R28" s="325"/>
      <c r="S28" s="327"/>
      <c r="T28" s="325"/>
      <c r="U28" s="325"/>
      <c r="V28" s="325"/>
      <c r="W28" s="325"/>
      <c r="X28" s="304"/>
      <c r="Y28" s="307"/>
      <c r="Z28" s="322"/>
      <c r="AA28" s="323">
        <f t="shared" si="16"/>
        <v>4.4741</v>
      </c>
      <c r="AB28" s="324">
        <v>2.06</v>
      </c>
      <c r="AC28" s="309">
        <f t="shared" si="17"/>
        <v>1.93</v>
      </c>
      <c r="AD28" s="311">
        <v>0.7</v>
      </c>
      <c r="AE28" s="313"/>
      <c r="AF28" s="322"/>
      <c r="AG28" s="312">
        <f>(AB28+AE28)*50%</f>
        <v>1.03</v>
      </c>
      <c r="AH28" s="322"/>
      <c r="AI28" s="322"/>
      <c r="AJ28" s="322"/>
      <c r="AK28" s="322"/>
      <c r="AL28" s="322"/>
      <c r="AM28" s="322"/>
      <c r="AN28" s="322"/>
      <c r="AO28" s="322"/>
      <c r="AP28" s="322"/>
      <c r="AQ28" s="322"/>
      <c r="AR28" s="313">
        <v>0.2</v>
      </c>
      <c r="AS28" s="458">
        <f>(AB28+AE28)*23.5%</f>
        <v>0.4841</v>
      </c>
      <c r="AT28" s="314">
        <f>AA28*12*1490000</f>
        <v>79996908</v>
      </c>
      <c r="AU28" s="28"/>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row>
    <row r="29" spans="1:75" ht="15.75">
      <c r="A29" s="295">
        <v>7</v>
      </c>
      <c r="B29" s="296" t="s">
        <v>173</v>
      </c>
      <c r="C29" s="444"/>
      <c r="D29" s="444"/>
      <c r="E29" s="304"/>
      <c r="F29" s="326"/>
      <c r="G29" s="304"/>
      <c r="H29" s="325"/>
      <c r="I29" s="325"/>
      <c r="J29" s="325"/>
      <c r="K29" s="304"/>
      <c r="L29" s="325"/>
      <c r="M29" s="325"/>
      <c r="N29" s="325"/>
      <c r="O29" s="325"/>
      <c r="P29" s="325"/>
      <c r="Q29" s="325"/>
      <c r="R29" s="325"/>
      <c r="S29" s="327"/>
      <c r="T29" s="325"/>
      <c r="U29" s="325"/>
      <c r="V29" s="325"/>
      <c r="W29" s="325"/>
      <c r="X29" s="304"/>
      <c r="Y29" s="307"/>
      <c r="Z29" s="328"/>
      <c r="AA29" s="323">
        <f t="shared" si="16"/>
        <v>2.8899</v>
      </c>
      <c r="AB29" s="329">
        <v>2.34</v>
      </c>
      <c r="AC29" s="309">
        <f t="shared" si="17"/>
        <v>0</v>
      </c>
      <c r="AD29" s="330"/>
      <c r="AE29" s="331"/>
      <c r="AF29" s="328"/>
      <c r="AG29" s="312"/>
      <c r="AH29" s="328"/>
      <c r="AI29" s="328"/>
      <c r="AJ29" s="328"/>
      <c r="AK29" s="328"/>
      <c r="AL29" s="328"/>
      <c r="AM29" s="328"/>
      <c r="AN29" s="328"/>
      <c r="AO29" s="328"/>
      <c r="AP29" s="328"/>
      <c r="AQ29" s="328"/>
      <c r="AR29" s="331"/>
      <c r="AS29" s="461">
        <f t="shared" si="18"/>
        <v>0.5498999999999999</v>
      </c>
      <c r="AT29" s="314">
        <f>AA29*12*1490000</f>
        <v>51671411.99999999</v>
      </c>
      <c r="AU29" s="28"/>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row>
    <row r="30" spans="1:75" ht="15.75">
      <c r="A30" s="295">
        <v>8</v>
      </c>
      <c r="B30" s="296" t="s">
        <v>17</v>
      </c>
      <c r="C30" s="444"/>
      <c r="D30" s="444"/>
      <c r="E30" s="299">
        <f aca="true" t="shared" si="19" ref="E30:U30">E31</f>
        <v>27.261950000000002</v>
      </c>
      <c r="F30" s="306">
        <f t="shared" si="19"/>
        <v>14.37</v>
      </c>
      <c r="G30" s="299">
        <f t="shared" si="19"/>
        <v>9.515</v>
      </c>
      <c r="H30" s="299">
        <f t="shared" si="19"/>
        <v>3.5</v>
      </c>
      <c r="I30" s="299">
        <f t="shared" si="19"/>
        <v>0</v>
      </c>
      <c r="J30" s="299">
        <f t="shared" si="19"/>
        <v>0</v>
      </c>
      <c r="K30" s="299">
        <f t="shared" si="19"/>
        <v>6.015</v>
      </c>
      <c r="L30" s="299">
        <f t="shared" si="19"/>
        <v>0</v>
      </c>
      <c r="M30" s="299">
        <f t="shared" si="19"/>
        <v>0</v>
      </c>
      <c r="N30" s="299">
        <f t="shared" si="19"/>
        <v>0</v>
      </c>
      <c r="O30" s="299">
        <f t="shared" si="19"/>
        <v>0</v>
      </c>
      <c r="P30" s="299">
        <f t="shared" si="19"/>
        <v>0</v>
      </c>
      <c r="Q30" s="299">
        <f t="shared" si="19"/>
        <v>0</v>
      </c>
      <c r="R30" s="299">
        <f t="shared" si="19"/>
        <v>0</v>
      </c>
      <c r="S30" s="299">
        <f t="shared" si="19"/>
        <v>0</v>
      </c>
      <c r="T30" s="299">
        <f t="shared" si="19"/>
        <v>0</v>
      </c>
      <c r="U30" s="299">
        <f t="shared" si="19"/>
        <v>0</v>
      </c>
      <c r="V30" s="299"/>
      <c r="W30" s="299">
        <f>W31</f>
        <v>0</v>
      </c>
      <c r="X30" s="299">
        <f>X31</f>
        <v>3.37695</v>
      </c>
      <c r="Y30" s="300">
        <f>Y31</f>
        <v>487444000</v>
      </c>
      <c r="Z30" s="320">
        <v>6</v>
      </c>
      <c r="AA30" s="320">
        <f>SUM(AA31:AA37)</f>
        <v>32.5944</v>
      </c>
      <c r="AB30" s="320">
        <f>SUM(AB31:AB37)</f>
        <v>17.04</v>
      </c>
      <c r="AC30" s="320">
        <f aca="true" t="shared" si="20" ref="AC30:AS30">SUM(AC31:AC37)</f>
        <v>11.549999999999999</v>
      </c>
      <c r="AD30" s="320">
        <f t="shared" si="20"/>
        <v>4.2</v>
      </c>
      <c r="AE30" s="320">
        <f t="shared" si="20"/>
        <v>0</v>
      </c>
      <c r="AF30" s="320">
        <f t="shared" si="20"/>
        <v>0</v>
      </c>
      <c r="AG30" s="320">
        <f t="shared" si="20"/>
        <v>7.35</v>
      </c>
      <c r="AH30" s="320">
        <f t="shared" si="20"/>
        <v>0</v>
      </c>
      <c r="AI30" s="320">
        <f t="shared" si="20"/>
        <v>0</v>
      </c>
      <c r="AJ30" s="320">
        <f t="shared" si="20"/>
        <v>0</v>
      </c>
      <c r="AK30" s="320">
        <f t="shared" si="20"/>
        <v>0</v>
      </c>
      <c r="AL30" s="320">
        <f t="shared" si="20"/>
        <v>0</v>
      </c>
      <c r="AM30" s="320">
        <f t="shared" si="20"/>
        <v>0</v>
      </c>
      <c r="AN30" s="320">
        <f t="shared" si="20"/>
        <v>0</v>
      </c>
      <c r="AO30" s="320">
        <f t="shared" si="20"/>
        <v>0</v>
      </c>
      <c r="AP30" s="320">
        <f t="shared" si="20"/>
        <v>0</v>
      </c>
      <c r="AQ30" s="320">
        <f t="shared" si="20"/>
        <v>0</v>
      </c>
      <c r="AR30" s="320">
        <f t="shared" si="20"/>
        <v>0</v>
      </c>
      <c r="AS30" s="459">
        <f t="shared" si="20"/>
        <v>4.0043999999999995</v>
      </c>
      <c r="AT30" s="483">
        <f>SUM(AT31:AT37)</f>
        <v>494268462</v>
      </c>
      <c r="AU30" s="28"/>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row>
    <row r="31" spans="1:75" ht="15.75">
      <c r="A31" s="316" t="s">
        <v>172</v>
      </c>
      <c r="B31" s="317" t="s">
        <v>171</v>
      </c>
      <c r="C31" s="445">
        <v>6</v>
      </c>
      <c r="D31" s="445">
        <v>5</v>
      </c>
      <c r="E31" s="299">
        <f aca="true" t="shared" si="21" ref="E31:X31">SUM(E32:E37)</f>
        <v>27.261950000000002</v>
      </c>
      <c r="F31" s="299">
        <f>SUM(F32:F37)</f>
        <v>14.37</v>
      </c>
      <c r="G31" s="299">
        <f t="shared" si="21"/>
        <v>9.515</v>
      </c>
      <c r="H31" s="299">
        <f t="shared" si="21"/>
        <v>3.5</v>
      </c>
      <c r="I31" s="299">
        <f t="shared" si="21"/>
        <v>0</v>
      </c>
      <c r="J31" s="299">
        <f t="shared" si="21"/>
        <v>0</v>
      </c>
      <c r="K31" s="299">
        <f t="shared" si="21"/>
        <v>6.015</v>
      </c>
      <c r="L31" s="299">
        <f t="shared" si="21"/>
        <v>0</v>
      </c>
      <c r="M31" s="299">
        <f t="shared" si="21"/>
        <v>0</v>
      </c>
      <c r="N31" s="299">
        <f t="shared" si="21"/>
        <v>0</v>
      </c>
      <c r="O31" s="299">
        <f t="shared" si="21"/>
        <v>0</v>
      </c>
      <c r="P31" s="299">
        <f t="shared" si="21"/>
        <v>0</v>
      </c>
      <c r="Q31" s="299">
        <f t="shared" si="21"/>
        <v>0</v>
      </c>
      <c r="R31" s="299">
        <f t="shared" si="21"/>
        <v>0</v>
      </c>
      <c r="S31" s="299">
        <f t="shared" si="21"/>
        <v>0</v>
      </c>
      <c r="T31" s="299">
        <f t="shared" si="21"/>
        <v>0</v>
      </c>
      <c r="U31" s="299">
        <f t="shared" si="21"/>
        <v>0</v>
      </c>
      <c r="V31" s="299">
        <f t="shared" si="21"/>
        <v>0</v>
      </c>
      <c r="W31" s="299">
        <f t="shared" si="21"/>
        <v>0</v>
      </c>
      <c r="X31" s="299">
        <f t="shared" si="21"/>
        <v>3.37695</v>
      </c>
      <c r="Y31" s="299">
        <f>ROUNDUP(SUM(Y32:Y37),-3)</f>
        <v>487444000</v>
      </c>
      <c r="Z31" s="331"/>
      <c r="AA31" s="332">
        <f>AB31+AC31+AS31</f>
        <v>4.7599</v>
      </c>
      <c r="AB31" s="332">
        <v>2.34</v>
      </c>
      <c r="AC31" s="332">
        <f aca="true" t="shared" si="22" ref="AC31:AC37">SUM(AD31:AR31)</f>
        <v>1.8699999999999999</v>
      </c>
      <c r="AD31" s="331">
        <v>0.7</v>
      </c>
      <c r="AE31" s="331"/>
      <c r="AF31" s="331"/>
      <c r="AG31" s="332">
        <f aca="true" t="shared" si="23" ref="AG31:AG36">AB31*50%</f>
        <v>1.17</v>
      </c>
      <c r="AH31" s="331"/>
      <c r="AI31" s="331"/>
      <c r="AJ31" s="331"/>
      <c r="AK31" s="331"/>
      <c r="AL31" s="331"/>
      <c r="AM31" s="331"/>
      <c r="AN31" s="331"/>
      <c r="AO31" s="331"/>
      <c r="AP31" s="331"/>
      <c r="AQ31" s="331"/>
      <c r="AR31" s="331"/>
      <c r="AS31" s="462">
        <f aca="true" t="shared" si="24" ref="AS31:AS36">AB31*23.5%</f>
        <v>0.5498999999999999</v>
      </c>
      <c r="AT31" s="313">
        <f>AA31*4*1490000</f>
        <v>28369004</v>
      </c>
      <c r="AU31" s="28"/>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row>
    <row r="32" spans="1:75" ht="15.75">
      <c r="A32" s="302">
        <v>1</v>
      </c>
      <c r="B32" s="303" t="s">
        <v>170</v>
      </c>
      <c r="C32" s="446"/>
      <c r="D32" s="446"/>
      <c r="E32" s="304">
        <f aca="true" t="shared" si="25" ref="E32:E37">F32+G32+X32</f>
        <v>4.7599</v>
      </c>
      <c r="F32" s="305">
        <v>2.34</v>
      </c>
      <c r="G32" s="304">
        <f aca="true" t="shared" si="26" ref="G32:G37">SUM(H32:W32)</f>
        <v>1.8699999999999999</v>
      </c>
      <c r="H32" s="304">
        <v>0.7</v>
      </c>
      <c r="I32" s="304"/>
      <c r="J32" s="304"/>
      <c r="K32" s="304">
        <f>(F32+I32+J32)*0.5</f>
        <v>1.17</v>
      </c>
      <c r="L32" s="304"/>
      <c r="M32" s="304"/>
      <c r="N32" s="304"/>
      <c r="O32" s="304"/>
      <c r="P32" s="304"/>
      <c r="Q32" s="304"/>
      <c r="R32" s="304"/>
      <c r="S32" s="305"/>
      <c r="T32" s="304"/>
      <c r="U32" s="304"/>
      <c r="V32" s="304"/>
      <c r="W32" s="304"/>
      <c r="X32" s="304">
        <f aca="true" t="shared" si="27" ref="X32:X37">(F32+I32+J32+M32)*0.235</f>
        <v>0.5498999999999999</v>
      </c>
      <c r="Y32" s="307">
        <f aca="true" t="shared" si="28" ref="Y32:Y37">E32*1490000*12</f>
        <v>85107012</v>
      </c>
      <c r="Z32" s="313"/>
      <c r="AA32" s="332">
        <f aca="true" t="shared" si="29" ref="AA32:AA37">AB32+AC32+AS32</f>
        <v>5.33245</v>
      </c>
      <c r="AB32" s="332">
        <v>2.67</v>
      </c>
      <c r="AC32" s="332">
        <f t="shared" si="22"/>
        <v>2.035</v>
      </c>
      <c r="AD32" s="332">
        <v>0.7</v>
      </c>
      <c r="AE32" s="332"/>
      <c r="AF32" s="332"/>
      <c r="AG32" s="332">
        <f t="shared" si="23"/>
        <v>1.335</v>
      </c>
      <c r="AH32" s="332"/>
      <c r="AI32" s="332"/>
      <c r="AJ32" s="332"/>
      <c r="AK32" s="332"/>
      <c r="AL32" s="332"/>
      <c r="AM32" s="332"/>
      <c r="AN32" s="332"/>
      <c r="AO32" s="332"/>
      <c r="AP32" s="332"/>
      <c r="AQ32" s="332"/>
      <c r="AR32" s="332"/>
      <c r="AS32" s="462">
        <f t="shared" si="24"/>
        <v>0.62745</v>
      </c>
      <c r="AT32" s="333">
        <f>AA32*8*1490000</f>
        <v>63562804</v>
      </c>
      <c r="AU32" s="28"/>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row>
    <row r="33" spans="1:75" ht="15.75">
      <c r="A33" s="302">
        <v>2</v>
      </c>
      <c r="B33" s="303" t="s">
        <v>169</v>
      </c>
      <c r="C33" s="446"/>
      <c r="D33" s="446"/>
      <c r="E33" s="304">
        <f t="shared" si="25"/>
        <v>5.33245</v>
      </c>
      <c r="F33" s="305">
        <v>2.67</v>
      </c>
      <c r="G33" s="304">
        <f t="shared" si="26"/>
        <v>2.035</v>
      </c>
      <c r="H33" s="304">
        <v>0.7</v>
      </c>
      <c r="I33" s="304"/>
      <c r="J33" s="304"/>
      <c r="K33" s="304">
        <f>(F33+I33+J33)*0.5</f>
        <v>1.335</v>
      </c>
      <c r="L33" s="304"/>
      <c r="M33" s="304"/>
      <c r="N33" s="304"/>
      <c r="O33" s="304"/>
      <c r="P33" s="304"/>
      <c r="Q33" s="304"/>
      <c r="R33" s="304"/>
      <c r="S33" s="305"/>
      <c r="T33" s="304"/>
      <c r="U33" s="304"/>
      <c r="V33" s="304"/>
      <c r="W33" s="304"/>
      <c r="X33" s="304">
        <f t="shared" si="27"/>
        <v>0.62745</v>
      </c>
      <c r="Y33" s="307">
        <f t="shared" si="28"/>
        <v>95344206</v>
      </c>
      <c r="Z33" s="334"/>
      <c r="AA33" s="332">
        <f t="shared" si="29"/>
        <v>5.33245</v>
      </c>
      <c r="AB33" s="332">
        <v>2.67</v>
      </c>
      <c r="AC33" s="332">
        <f t="shared" si="22"/>
        <v>2.035</v>
      </c>
      <c r="AD33" s="332">
        <v>0.7</v>
      </c>
      <c r="AE33" s="335"/>
      <c r="AF33" s="335"/>
      <c r="AG33" s="332">
        <f t="shared" si="23"/>
        <v>1.335</v>
      </c>
      <c r="AH33" s="335"/>
      <c r="AI33" s="335"/>
      <c r="AJ33" s="335"/>
      <c r="AK33" s="335"/>
      <c r="AL33" s="335"/>
      <c r="AM33" s="335"/>
      <c r="AN33" s="335"/>
      <c r="AO33" s="335"/>
      <c r="AP33" s="335"/>
      <c r="AQ33" s="335"/>
      <c r="AR33" s="335"/>
      <c r="AS33" s="462">
        <f t="shared" si="24"/>
        <v>0.62745</v>
      </c>
      <c r="AT33" s="333">
        <f>AA33*12*1490000</f>
        <v>95344206</v>
      </c>
      <c r="AU33" s="28"/>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row>
    <row r="34" spans="1:75" ht="15.75">
      <c r="A34" s="302">
        <v>3</v>
      </c>
      <c r="B34" s="303" t="s">
        <v>168</v>
      </c>
      <c r="C34" s="446"/>
      <c r="D34" s="446"/>
      <c r="E34" s="304">
        <f t="shared" si="25"/>
        <v>4.7599</v>
      </c>
      <c r="F34" s="305">
        <v>2.34</v>
      </c>
      <c r="G34" s="304">
        <f t="shared" si="26"/>
        <v>1.8699999999999999</v>
      </c>
      <c r="H34" s="304">
        <v>0.7</v>
      </c>
      <c r="I34" s="304"/>
      <c r="J34" s="304"/>
      <c r="K34" s="304">
        <f>(F34+I34+J34)*0.5</f>
        <v>1.17</v>
      </c>
      <c r="L34" s="304"/>
      <c r="M34" s="304"/>
      <c r="N34" s="304"/>
      <c r="O34" s="304"/>
      <c r="P34" s="304"/>
      <c r="Q34" s="304"/>
      <c r="R34" s="304"/>
      <c r="S34" s="305"/>
      <c r="T34" s="304"/>
      <c r="U34" s="304"/>
      <c r="V34" s="304"/>
      <c r="W34" s="304"/>
      <c r="X34" s="304">
        <f t="shared" si="27"/>
        <v>0.5498999999999999</v>
      </c>
      <c r="Y34" s="307">
        <f t="shared" si="28"/>
        <v>85107012</v>
      </c>
      <c r="Z34" s="313"/>
      <c r="AA34" s="332">
        <f t="shared" si="29"/>
        <v>4.7599</v>
      </c>
      <c r="AB34" s="332">
        <v>2.34</v>
      </c>
      <c r="AC34" s="332">
        <f t="shared" si="22"/>
        <v>1.8699999999999999</v>
      </c>
      <c r="AD34" s="332">
        <v>0.7</v>
      </c>
      <c r="AE34" s="313"/>
      <c r="AF34" s="313"/>
      <c r="AG34" s="332">
        <f t="shared" si="23"/>
        <v>1.17</v>
      </c>
      <c r="AH34" s="313"/>
      <c r="AI34" s="313"/>
      <c r="AJ34" s="313"/>
      <c r="AK34" s="313"/>
      <c r="AL34" s="313"/>
      <c r="AM34" s="313"/>
      <c r="AN34" s="313"/>
      <c r="AO34" s="313"/>
      <c r="AP34" s="313"/>
      <c r="AQ34" s="313"/>
      <c r="AR34" s="313"/>
      <c r="AS34" s="462">
        <f t="shared" si="24"/>
        <v>0.5498999999999999</v>
      </c>
      <c r="AT34" s="333">
        <f>AA34*12*1490000</f>
        <v>85107012</v>
      </c>
      <c r="AU34" s="28"/>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row>
    <row r="35" spans="1:75" ht="15.75">
      <c r="A35" s="302">
        <v>4</v>
      </c>
      <c r="B35" s="303" t="s">
        <v>167</v>
      </c>
      <c r="C35" s="446"/>
      <c r="D35" s="446"/>
      <c r="E35" s="304">
        <f t="shared" si="25"/>
        <v>4.7599</v>
      </c>
      <c r="F35" s="305">
        <v>2.34</v>
      </c>
      <c r="G35" s="304">
        <f t="shared" si="26"/>
        <v>1.8699999999999999</v>
      </c>
      <c r="H35" s="304">
        <v>0.7</v>
      </c>
      <c r="I35" s="304"/>
      <c r="J35" s="304"/>
      <c r="K35" s="304">
        <f>(F35+I35+J35)*0.5</f>
        <v>1.17</v>
      </c>
      <c r="L35" s="304"/>
      <c r="M35" s="304"/>
      <c r="N35" s="304"/>
      <c r="O35" s="304"/>
      <c r="P35" s="304"/>
      <c r="Q35" s="304"/>
      <c r="R35" s="304"/>
      <c r="S35" s="305"/>
      <c r="T35" s="304"/>
      <c r="U35" s="304"/>
      <c r="V35" s="304"/>
      <c r="W35" s="304"/>
      <c r="X35" s="304">
        <f t="shared" si="27"/>
        <v>0.5498999999999999</v>
      </c>
      <c r="Y35" s="307">
        <f t="shared" si="28"/>
        <v>85107012</v>
      </c>
      <c r="Z35" s="313"/>
      <c r="AA35" s="332">
        <f t="shared" si="29"/>
        <v>4.7599</v>
      </c>
      <c r="AB35" s="332">
        <v>2.34</v>
      </c>
      <c r="AC35" s="332">
        <f t="shared" si="22"/>
        <v>1.8699999999999999</v>
      </c>
      <c r="AD35" s="332">
        <v>0.7</v>
      </c>
      <c r="AE35" s="313"/>
      <c r="AF35" s="313"/>
      <c r="AG35" s="332">
        <f t="shared" si="23"/>
        <v>1.17</v>
      </c>
      <c r="AH35" s="313"/>
      <c r="AI35" s="313"/>
      <c r="AJ35" s="313"/>
      <c r="AK35" s="313"/>
      <c r="AL35" s="313"/>
      <c r="AM35" s="313"/>
      <c r="AN35" s="313"/>
      <c r="AO35" s="313"/>
      <c r="AP35" s="313"/>
      <c r="AQ35" s="313"/>
      <c r="AR35" s="313"/>
      <c r="AS35" s="462">
        <f t="shared" si="24"/>
        <v>0.5498999999999999</v>
      </c>
      <c r="AT35" s="333">
        <f>AA35*12*1490000</f>
        <v>85107012</v>
      </c>
      <c r="AU35" s="28"/>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row>
    <row r="36" spans="1:75" ht="15.75">
      <c r="A36" s="302">
        <v>5</v>
      </c>
      <c r="B36" s="303" t="s">
        <v>166</v>
      </c>
      <c r="C36" s="446"/>
      <c r="D36" s="446"/>
      <c r="E36" s="304">
        <f t="shared" si="25"/>
        <v>4.7599</v>
      </c>
      <c r="F36" s="305">
        <v>2.34</v>
      </c>
      <c r="G36" s="304">
        <f t="shared" si="26"/>
        <v>1.8699999999999999</v>
      </c>
      <c r="H36" s="304">
        <v>0.7</v>
      </c>
      <c r="I36" s="304"/>
      <c r="J36" s="304"/>
      <c r="K36" s="304">
        <f>(F36+I36+J36)*0.5</f>
        <v>1.17</v>
      </c>
      <c r="L36" s="304"/>
      <c r="M36" s="304"/>
      <c r="N36" s="304"/>
      <c r="O36" s="304"/>
      <c r="P36" s="304"/>
      <c r="Q36" s="304"/>
      <c r="R36" s="304"/>
      <c r="S36" s="305"/>
      <c r="T36" s="304"/>
      <c r="U36" s="304"/>
      <c r="V36" s="304"/>
      <c r="W36" s="304"/>
      <c r="X36" s="304">
        <f t="shared" si="27"/>
        <v>0.5498999999999999</v>
      </c>
      <c r="Y36" s="307">
        <f t="shared" si="28"/>
        <v>85107012</v>
      </c>
      <c r="Z36" s="313"/>
      <c r="AA36" s="332">
        <f t="shared" si="29"/>
        <v>4.7599</v>
      </c>
      <c r="AB36" s="332">
        <v>2.34</v>
      </c>
      <c r="AC36" s="332">
        <f t="shared" si="22"/>
        <v>1.8699999999999999</v>
      </c>
      <c r="AD36" s="332">
        <v>0.7</v>
      </c>
      <c r="AE36" s="313"/>
      <c r="AF36" s="313"/>
      <c r="AG36" s="332">
        <f t="shared" si="23"/>
        <v>1.17</v>
      </c>
      <c r="AH36" s="313"/>
      <c r="AI36" s="313"/>
      <c r="AJ36" s="313"/>
      <c r="AK36" s="313"/>
      <c r="AL36" s="313"/>
      <c r="AM36" s="313"/>
      <c r="AN36" s="313"/>
      <c r="AO36" s="313"/>
      <c r="AP36" s="313"/>
      <c r="AQ36" s="313"/>
      <c r="AR36" s="313"/>
      <c r="AS36" s="462">
        <f t="shared" si="24"/>
        <v>0.5498999999999999</v>
      </c>
      <c r="AT36" s="333">
        <f>AA36*12*1490000</f>
        <v>85107012</v>
      </c>
      <c r="AU36" s="28"/>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row>
    <row r="37" spans="1:75" ht="15.75">
      <c r="A37" s="302">
        <v>6</v>
      </c>
      <c r="B37" s="303" t="s">
        <v>155</v>
      </c>
      <c r="C37" s="446"/>
      <c r="D37" s="446"/>
      <c r="E37" s="304">
        <f t="shared" si="25"/>
        <v>2.8899</v>
      </c>
      <c r="F37" s="305">
        <f>1*2.34</f>
        <v>2.34</v>
      </c>
      <c r="G37" s="304">
        <f t="shared" si="26"/>
        <v>0</v>
      </c>
      <c r="H37" s="304"/>
      <c r="I37" s="304"/>
      <c r="J37" s="304"/>
      <c r="K37" s="304"/>
      <c r="L37" s="304"/>
      <c r="M37" s="304"/>
      <c r="N37" s="304"/>
      <c r="O37" s="304"/>
      <c r="P37" s="304"/>
      <c r="Q37" s="304"/>
      <c r="R37" s="304"/>
      <c r="S37" s="305"/>
      <c r="T37" s="304"/>
      <c r="U37" s="304"/>
      <c r="V37" s="304"/>
      <c r="W37" s="304"/>
      <c r="X37" s="304">
        <f t="shared" si="27"/>
        <v>0.5498999999999999</v>
      </c>
      <c r="Y37" s="307">
        <f t="shared" si="28"/>
        <v>51671412</v>
      </c>
      <c r="Z37" s="313"/>
      <c r="AA37" s="332">
        <f t="shared" si="29"/>
        <v>2.8899</v>
      </c>
      <c r="AB37" s="313">
        <v>2.34</v>
      </c>
      <c r="AC37" s="332">
        <f t="shared" si="22"/>
        <v>0</v>
      </c>
      <c r="AD37" s="313"/>
      <c r="AE37" s="313"/>
      <c r="AF37" s="313"/>
      <c r="AG37" s="313"/>
      <c r="AH37" s="313"/>
      <c r="AI37" s="313"/>
      <c r="AJ37" s="313"/>
      <c r="AK37" s="313"/>
      <c r="AL37" s="313"/>
      <c r="AM37" s="313"/>
      <c r="AN37" s="313"/>
      <c r="AO37" s="313"/>
      <c r="AP37" s="313"/>
      <c r="AQ37" s="313"/>
      <c r="AR37" s="313"/>
      <c r="AS37" s="462">
        <f>AB37*23.5%</f>
        <v>0.5498999999999999</v>
      </c>
      <c r="AT37" s="333">
        <f>AA37*12*1490000</f>
        <v>51671411.99999999</v>
      </c>
      <c r="AU37" s="28"/>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row>
    <row r="38" spans="1:75" ht="31.5">
      <c r="A38" s="295">
        <v>9</v>
      </c>
      <c r="B38" s="296" t="s">
        <v>165</v>
      </c>
      <c r="C38" s="444"/>
      <c r="D38" s="444"/>
      <c r="E38" s="292">
        <f aca="true" t="shared" si="30" ref="E38:Y38">E39+E87</f>
        <v>635.8915</v>
      </c>
      <c r="F38" s="292">
        <f t="shared" si="30"/>
        <v>267.26</v>
      </c>
      <c r="G38" s="292">
        <f t="shared" si="30"/>
        <v>305.192</v>
      </c>
      <c r="H38" s="292">
        <f t="shared" si="30"/>
        <v>48.29999999999999</v>
      </c>
      <c r="I38" s="292">
        <f t="shared" si="30"/>
        <v>13.8</v>
      </c>
      <c r="J38" s="292">
        <f t="shared" si="30"/>
        <v>0</v>
      </c>
      <c r="K38" s="292">
        <f t="shared" si="30"/>
        <v>126.49000000000001</v>
      </c>
      <c r="L38" s="292">
        <f t="shared" si="30"/>
        <v>0</v>
      </c>
      <c r="M38" s="292">
        <f t="shared" si="30"/>
        <v>0.512</v>
      </c>
      <c r="N38" s="292">
        <f t="shared" si="30"/>
        <v>0</v>
      </c>
      <c r="O38" s="292">
        <f t="shared" si="30"/>
        <v>63.245000000000005</v>
      </c>
      <c r="P38" s="292">
        <f t="shared" si="30"/>
        <v>0</v>
      </c>
      <c r="Q38" s="292">
        <f t="shared" si="30"/>
        <v>0</v>
      </c>
      <c r="R38" s="292">
        <f t="shared" si="30"/>
        <v>0</v>
      </c>
      <c r="S38" s="292">
        <f t="shared" si="30"/>
        <v>0</v>
      </c>
      <c r="T38" s="292">
        <f t="shared" si="30"/>
        <v>44.53799999999998</v>
      </c>
      <c r="U38" s="292">
        <f t="shared" si="30"/>
        <v>1.835</v>
      </c>
      <c r="V38" s="292">
        <f t="shared" si="30"/>
        <v>0</v>
      </c>
      <c r="W38" s="292">
        <f t="shared" si="30"/>
        <v>5.4399999999999995</v>
      </c>
      <c r="X38" s="292">
        <f t="shared" si="30"/>
        <v>63.43950000000001</v>
      </c>
      <c r="Y38" s="293">
        <f t="shared" si="30"/>
        <v>12071319704</v>
      </c>
      <c r="Z38" s="301"/>
      <c r="AA38" s="301">
        <f>AA39+AA55+AA63+AA71+AA78+AA87+AA83</f>
        <v>303.786</v>
      </c>
      <c r="AB38" s="301">
        <f aca="true" t="shared" si="31" ref="AB38:AT38">AB39+AB55+AB63+AB71+AB78+AB87+AB83</f>
        <v>138.46</v>
      </c>
      <c r="AC38" s="301">
        <f t="shared" si="31"/>
        <v>132.485</v>
      </c>
      <c r="AD38" s="301">
        <f t="shared" si="31"/>
        <v>23.799999999999997</v>
      </c>
      <c r="AE38" s="301">
        <f t="shared" si="31"/>
        <v>7.500000000000001</v>
      </c>
      <c r="AF38" s="301">
        <f t="shared" si="31"/>
        <v>0</v>
      </c>
      <c r="AG38" s="301">
        <f t="shared" si="31"/>
        <v>65.96</v>
      </c>
      <c r="AH38" s="301">
        <f t="shared" si="31"/>
        <v>0</v>
      </c>
      <c r="AI38" s="301">
        <f t="shared" si="31"/>
        <v>0</v>
      </c>
      <c r="AJ38" s="301">
        <f t="shared" si="31"/>
        <v>0</v>
      </c>
      <c r="AK38" s="301">
        <f t="shared" si="31"/>
        <v>32.98</v>
      </c>
      <c r="AL38" s="301">
        <f t="shared" si="31"/>
        <v>0</v>
      </c>
      <c r="AM38" s="301">
        <f t="shared" si="31"/>
        <v>0</v>
      </c>
      <c r="AN38" s="301">
        <f t="shared" si="31"/>
        <v>0.6</v>
      </c>
      <c r="AO38" s="301">
        <f t="shared" si="31"/>
        <v>0</v>
      </c>
      <c r="AP38" s="301">
        <f t="shared" si="31"/>
        <v>0</v>
      </c>
      <c r="AQ38" s="301">
        <f t="shared" si="31"/>
        <v>0.4850000000000001</v>
      </c>
      <c r="AR38" s="301">
        <f t="shared" si="31"/>
        <v>1.16</v>
      </c>
      <c r="AS38" s="456">
        <f t="shared" si="31"/>
        <v>32.841</v>
      </c>
      <c r="AT38" s="408">
        <f t="shared" si="31"/>
        <v>4747180030</v>
      </c>
      <c r="AU38" s="28"/>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row>
    <row r="39" spans="1:75" ht="31.5">
      <c r="A39" s="295" t="s">
        <v>164</v>
      </c>
      <c r="B39" s="296" t="s">
        <v>163</v>
      </c>
      <c r="C39" s="444"/>
      <c r="D39" s="444"/>
      <c r="E39" s="293">
        <f aca="true" t="shared" si="32" ref="E39:Y39">E40+E48+E55+E58+E63+E68+E73+E79+E84+0</f>
        <v>244.85099999999997</v>
      </c>
      <c r="F39" s="293">
        <f t="shared" si="32"/>
        <v>112.96000000000001</v>
      </c>
      <c r="G39" s="293">
        <f t="shared" si="32"/>
        <v>105.215</v>
      </c>
      <c r="H39" s="293">
        <f t="shared" si="32"/>
        <v>18.900000000000002</v>
      </c>
      <c r="I39" s="293">
        <f t="shared" si="32"/>
        <v>5.6000000000000005</v>
      </c>
      <c r="J39" s="293">
        <f t="shared" si="32"/>
        <v>0</v>
      </c>
      <c r="K39" s="293">
        <f t="shared" si="32"/>
        <v>52.260000000000005</v>
      </c>
      <c r="L39" s="293">
        <f t="shared" si="32"/>
        <v>0</v>
      </c>
      <c r="M39" s="293">
        <f t="shared" si="32"/>
        <v>0</v>
      </c>
      <c r="N39" s="293">
        <f t="shared" si="32"/>
        <v>0</v>
      </c>
      <c r="O39" s="293">
        <f t="shared" si="32"/>
        <v>26.130000000000003</v>
      </c>
      <c r="P39" s="293">
        <f t="shared" si="32"/>
        <v>0</v>
      </c>
      <c r="Q39" s="293">
        <f t="shared" si="32"/>
        <v>0</v>
      </c>
      <c r="R39" s="293">
        <f t="shared" si="32"/>
        <v>0</v>
      </c>
      <c r="S39" s="293">
        <f t="shared" si="32"/>
        <v>0</v>
      </c>
      <c r="T39" s="293">
        <f t="shared" si="32"/>
        <v>0</v>
      </c>
      <c r="U39" s="293">
        <f t="shared" si="32"/>
        <v>1.385</v>
      </c>
      <c r="V39" s="293">
        <f t="shared" si="32"/>
        <v>0</v>
      </c>
      <c r="W39" s="293">
        <f t="shared" si="32"/>
        <v>0.94</v>
      </c>
      <c r="X39" s="293">
        <f t="shared" si="32"/>
        <v>26.676000000000002</v>
      </c>
      <c r="Y39" s="293">
        <f t="shared" si="32"/>
        <v>5079515500</v>
      </c>
      <c r="Z39" s="320"/>
      <c r="AA39" s="320">
        <f>AA40</f>
        <v>82.86</v>
      </c>
      <c r="AB39" s="320">
        <f aca="true" t="shared" si="33" ref="AB39:AS39">AB40</f>
        <v>34.400000000000006</v>
      </c>
      <c r="AC39" s="320">
        <f t="shared" si="33"/>
        <v>39.82</v>
      </c>
      <c r="AD39" s="320">
        <f t="shared" si="33"/>
        <v>6.300000000000001</v>
      </c>
      <c r="AE39" s="320">
        <f t="shared" si="33"/>
        <v>4.000000000000001</v>
      </c>
      <c r="AF39" s="320">
        <f t="shared" si="33"/>
        <v>0</v>
      </c>
      <c r="AG39" s="320">
        <f t="shared" si="33"/>
        <v>19.2</v>
      </c>
      <c r="AH39" s="320">
        <f t="shared" si="33"/>
        <v>0</v>
      </c>
      <c r="AI39" s="320">
        <f t="shared" si="33"/>
        <v>0</v>
      </c>
      <c r="AJ39" s="320">
        <f t="shared" si="33"/>
        <v>0</v>
      </c>
      <c r="AK39" s="320">
        <f t="shared" si="33"/>
        <v>9.6</v>
      </c>
      <c r="AL39" s="320">
        <f t="shared" si="33"/>
        <v>0</v>
      </c>
      <c r="AM39" s="320">
        <f t="shared" si="33"/>
        <v>0</v>
      </c>
      <c r="AN39" s="320">
        <f t="shared" si="33"/>
        <v>0</v>
      </c>
      <c r="AO39" s="320">
        <f t="shared" si="33"/>
        <v>0</v>
      </c>
      <c r="AP39" s="320">
        <f t="shared" si="33"/>
        <v>0</v>
      </c>
      <c r="AQ39" s="320">
        <f t="shared" si="33"/>
        <v>0</v>
      </c>
      <c r="AR39" s="320">
        <f t="shared" si="33"/>
        <v>0.72</v>
      </c>
      <c r="AS39" s="459">
        <f t="shared" si="33"/>
        <v>8.64</v>
      </c>
      <c r="AT39" s="482">
        <f>AT40+AT50</f>
        <v>1325507152.5</v>
      </c>
      <c r="AU39" s="28"/>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row>
    <row r="40" spans="1:75" ht="15.75">
      <c r="A40" s="316" t="s">
        <v>162</v>
      </c>
      <c r="B40" s="317" t="s">
        <v>161</v>
      </c>
      <c r="C40" s="445">
        <v>6</v>
      </c>
      <c r="D40" s="445">
        <v>6</v>
      </c>
      <c r="E40" s="299">
        <f aca="true" t="shared" si="34" ref="E40:X40">SUM(E41:E47)</f>
        <v>62.33025</v>
      </c>
      <c r="F40" s="299">
        <f t="shared" si="34"/>
        <v>26.190000000000005</v>
      </c>
      <c r="G40" s="299">
        <f t="shared" si="34"/>
        <v>29.5725</v>
      </c>
      <c r="H40" s="299">
        <f t="shared" si="34"/>
        <v>4.2</v>
      </c>
      <c r="I40" s="299">
        <f t="shared" si="34"/>
        <v>3</v>
      </c>
      <c r="J40" s="299">
        <f t="shared" si="34"/>
        <v>0</v>
      </c>
      <c r="K40" s="299">
        <f t="shared" si="34"/>
        <v>14.595</v>
      </c>
      <c r="L40" s="299">
        <f t="shared" si="34"/>
        <v>0</v>
      </c>
      <c r="M40" s="299">
        <f t="shared" si="34"/>
        <v>0</v>
      </c>
      <c r="N40" s="299">
        <f t="shared" si="34"/>
        <v>0</v>
      </c>
      <c r="O40" s="299">
        <f t="shared" si="34"/>
        <v>7.2975</v>
      </c>
      <c r="P40" s="299">
        <f t="shared" si="34"/>
        <v>0</v>
      </c>
      <c r="Q40" s="299">
        <f t="shared" si="34"/>
        <v>0</v>
      </c>
      <c r="R40" s="299">
        <f t="shared" si="34"/>
        <v>0</v>
      </c>
      <c r="S40" s="299">
        <f t="shared" si="34"/>
        <v>0</v>
      </c>
      <c r="T40" s="299">
        <f t="shared" si="34"/>
        <v>0</v>
      </c>
      <c r="U40" s="299">
        <f t="shared" si="34"/>
        <v>0</v>
      </c>
      <c r="V40" s="299">
        <f t="shared" si="34"/>
        <v>0</v>
      </c>
      <c r="W40" s="299">
        <f t="shared" si="34"/>
        <v>0.48</v>
      </c>
      <c r="X40" s="299">
        <f t="shared" si="34"/>
        <v>6.56775</v>
      </c>
      <c r="Y40" s="300">
        <f>ROUNDUP(SUM(Y41:Y47),-3)</f>
        <v>1114465000</v>
      </c>
      <c r="Z40" s="320">
        <v>6</v>
      </c>
      <c r="AA40" s="336">
        <f aca="true" t="shared" si="35" ref="AA40:AS40">SUM(AA41:AA49)</f>
        <v>82.86</v>
      </c>
      <c r="AB40" s="336">
        <f>SUM(AB41:AB49)</f>
        <v>34.400000000000006</v>
      </c>
      <c r="AC40" s="336">
        <f t="shared" si="35"/>
        <v>39.82</v>
      </c>
      <c r="AD40" s="336">
        <f t="shared" si="35"/>
        <v>6.300000000000001</v>
      </c>
      <c r="AE40" s="336">
        <f t="shared" si="35"/>
        <v>4.000000000000001</v>
      </c>
      <c r="AF40" s="336">
        <f t="shared" si="35"/>
        <v>0</v>
      </c>
      <c r="AG40" s="336">
        <f t="shared" si="35"/>
        <v>19.2</v>
      </c>
      <c r="AH40" s="336">
        <f t="shared" si="35"/>
        <v>0</v>
      </c>
      <c r="AI40" s="336">
        <f t="shared" si="35"/>
        <v>0</v>
      </c>
      <c r="AJ40" s="336">
        <f t="shared" si="35"/>
        <v>0</v>
      </c>
      <c r="AK40" s="336">
        <f t="shared" si="35"/>
        <v>9.6</v>
      </c>
      <c r="AL40" s="336">
        <f t="shared" si="35"/>
        <v>0</v>
      </c>
      <c r="AM40" s="336">
        <f t="shared" si="35"/>
        <v>0</v>
      </c>
      <c r="AN40" s="336">
        <f t="shared" si="35"/>
        <v>0</v>
      </c>
      <c r="AO40" s="336">
        <f t="shared" si="35"/>
        <v>0</v>
      </c>
      <c r="AP40" s="336">
        <f t="shared" si="35"/>
        <v>0</v>
      </c>
      <c r="AQ40" s="336">
        <f t="shared" si="35"/>
        <v>0</v>
      </c>
      <c r="AR40" s="336">
        <f t="shared" si="35"/>
        <v>0.72</v>
      </c>
      <c r="AS40" s="463">
        <f t="shared" si="35"/>
        <v>8.64</v>
      </c>
      <c r="AT40" s="484">
        <f>SUM(AT41:AT49)</f>
        <v>1043927152.5</v>
      </c>
      <c r="AU40" s="23"/>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row>
    <row r="41" spans="1:75" ht="15.75">
      <c r="A41" s="302">
        <v>1</v>
      </c>
      <c r="B41" s="303" t="s">
        <v>54</v>
      </c>
      <c r="C41" s="446"/>
      <c r="D41" s="446"/>
      <c r="E41" s="304">
        <f aca="true" t="shared" si="36" ref="E41:E46">F41+G41+X41</f>
        <v>11.444</v>
      </c>
      <c r="F41" s="305">
        <v>4.74</v>
      </c>
      <c r="G41" s="304">
        <f aca="true" t="shared" si="37" ref="G41:G46">H41+I41+J41+K41+L41+M41+N41+O41+P41+Q41+R41+S41+T41+U41+W41</f>
        <v>5.48</v>
      </c>
      <c r="H41" s="304">
        <v>0.7</v>
      </c>
      <c r="I41" s="304">
        <v>0.7</v>
      </c>
      <c r="J41" s="304"/>
      <c r="K41" s="304">
        <f aca="true" t="shared" si="38" ref="K41:K46">(F41+I41)*50%</f>
        <v>2.72</v>
      </c>
      <c r="L41" s="304"/>
      <c r="M41" s="304"/>
      <c r="N41" s="304"/>
      <c r="O41" s="319">
        <f aca="true" t="shared" si="39" ref="O41:O46">(F41+I41)*25%</f>
        <v>1.36</v>
      </c>
      <c r="P41" s="304"/>
      <c r="Q41" s="304"/>
      <c r="R41" s="304"/>
      <c r="S41" s="305"/>
      <c r="T41" s="304"/>
      <c r="U41" s="304"/>
      <c r="V41" s="304"/>
      <c r="W41" s="304"/>
      <c r="X41" s="304">
        <f aca="true" t="shared" si="40" ref="X41:X46">(F41+I41)*22.5%</f>
        <v>1.2240000000000002</v>
      </c>
      <c r="Y41" s="307">
        <f aca="true" t="shared" si="41" ref="Y41:Y46">E41*1490000*12</f>
        <v>204618720</v>
      </c>
      <c r="Z41" s="337"/>
      <c r="AA41" s="337">
        <f aca="true" t="shared" si="42" ref="AA41:AA49">AB41+AC41+AS41</f>
        <v>12.1155</v>
      </c>
      <c r="AB41" s="338">
        <v>5.08</v>
      </c>
      <c r="AC41" s="337">
        <f aca="true" t="shared" si="43" ref="AC41:AC48">SUM(AD41:AR41)</f>
        <v>5.735</v>
      </c>
      <c r="AD41" s="337">
        <v>0.7</v>
      </c>
      <c r="AE41" s="337">
        <v>0.7</v>
      </c>
      <c r="AF41" s="337"/>
      <c r="AG41" s="337">
        <f aca="true" t="shared" si="44" ref="AG41:AG49">0.5*(AB41+AE41)</f>
        <v>2.89</v>
      </c>
      <c r="AH41" s="337"/>
      <c r="AI41" s="337"/>
      <c r="AJ41" s="337"/>
      <c r="AK41" s="337">
        <f aca="true" t="shared" si="45" ref="AK41:AK49">0.25*(AB41+AE41)</f>
        <v>1.445</v>
      </c>
      <c r="AL41" s="337"/>
      <c r="AM41" s="337"/>
      <c r="AN41" s="337"/>
      <c r="AO41" s="337"/>
      <c r="AP41" s="337"/>
      <c r="AQ41" s="337"/>
      <c r="AR41" s="337"/>
      <c r="AS41" s="464">
        <f aca="true" t="shared" si="46" ref="AS41:AS49">(AB41+AE41)*22.5%</f>
        <v>1.3005</v>
      </c>
      <c r="AT41" s="485">
        <f>AA41*1490000*12</f>
        <v>216625140</v>
      </c>
      <c r="AU41" s="13"/>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row>
    <row r="42" spans="1:75" ht="15.75">
      <c r="A42" s="302">
        <v>2</v>
      </c>
      <c r="B42" s="303" t="s">
        <v>160</v>
      </c>
      <c r="C42" s="446"/>
      <c r="D42" s="446"/>
      <c r="E42" s="304">
        <f t="shared" si="36"/>
        <v>9.76525</v>
      </c>
      <c r="F42" s="305">
        <v>3.99</v>
      </c>
      <c r="G42" s="304">
        <f t="shared" si="37"/>
        <v>4.7425</v>
      </c>
      <c r="H42" s="304">
        <v>0.7</v>
      </c>
      <c r="I42" s="304">
        <v>0.6</v>
      </c>
      <c r="J42" s="304"/>
      <c r="K42" s="304">
        <f t="shared" si="38"/>
        <v>2.295</v>
      </c>
      <c r="L42" s="304"/>
      <c r="M42" s="304"/>
      <c r="N42" s="304"/>
      <c r="O42" s="319">
        <f t="shared" si="39"/>
        <v>1.1475</v>
      </c>
      <c r="P42" s="304"/>
      <c r="Q42" s="304"/>
      <c r="R42" s="304"/>
      <c r="S42" s="305"/>
      <c r="T42" s="304"/>
      <c r="U42" s="304"/>
      <c r="V42" s="304"/>
      <c r="W42" s="304"/>
      <c r="X42" s="304">
        <f t="shared" si="40"/>
        <v>1.03275</v>
      </c>
      <c r="Y42" s="307">
        <f t="shared" si="41"/>
        <v>174602670</v>
      </c>
      <c r="Z42" s="337"/>
      <c r="AA42" s="337">
        <f t="shared" si="42"/>
        <v>9.1135</v>
      </c>
      <c r="AB42" s="337">
        <v>3.66</v>
      </c>
      <c r="AC42" s="337">
        <f t="shared" si="43"/>
        <v>4.494999999999999</v>
      </c>
      <c r="AD42" s="337">
        <v>0.7</v>
      </c>
      <c r="AE42" s="337">
        <v>0.6</v>
      </c>
      <c r="AF42" s="337"/>
      <c r="AG42" s="337">
        <f t="shared" si="44"/>
        <v>2.13</v>
      </c>
      <c r="AH42" s="337"/>
      <c r="AI42" s="337"/>
      <c r="AJ42" s="337"/>
      <c r="AK42" s="337">
        <f t="shared" si="45"/>
        <v>1.065</v>
      </c>
      <c r="AL42" s="337"/>
      <c r="AM42" s="337"/>
      <c r="AN42" s="337"/>
      <c r="AO42" s="337"/>
      <c r="AP42" s="337"/>
      <c r="AQ42" s="337"/>
      <c r="AR42" s="337"/>
      <c r="AS42" s="464">
        <f t="shared" si="46"/>
        <v>0.9585</v>
      </c>
      <c r="AT42" s="485">
        <f>AA42*1490000*3</f>
        <v>40737345</v>
      </c>
      <c r="AU42" s="13"/>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row>
    <row r="43" spans="1:75" ht="15.75">
      <c r="A43" s="302">
        <v>3</v>
      </c>
      <c r="B43" s="303" t="s">
        <v>45</v>
      </c>
      <c r="C43" s="446"/>
      <c r="D43" s="446"/>
      <c r="E43" s="304">
        <f t="shared" si="36"/>
        <v>10.854500000000002</v>
      </c>
      <c r="F43" s="305">
        <v>4.32</v>
      </c>
      <c r="G43" s="304">
        <f t="shared" si="37"/>
        <v>5.405</v>
      </c>
      <c r="H43" s="304">
        <v>0.7</v>
      </c>
      <c r="I43" s="304">
        <v>0.7</v>
      </c>
      <c r="J43" s="304"/>
      <c r="K43" s="304">
        <f t="shared" si="38"/>
        <v>2.5100000000000002</v>
      </c>
      <c r="L43" s="304"/>
      <c r="M43" s="304"/>
      <c r="N43" s="304"/>
      <c r="O43" s="319">
        <f t="shared" si="39"/>
        <v>1.2550000000000001</v>
      </c>
      <c r="P43" s="304"/>
      <c r="Q43" s="304"/>
      <c r="R43" s="304"/>
      <c r="S43" s="305"/>
      <c r="T43" s="304"/>
      <c r="U43" s="304"/>
      <c r="V43" s="304"/>
      <c r="W43" s="304">
        <v>0.24</v>
      </c>
      <c r="X43" s="304">
        <f t="shared" si="40"/>
        <v>1.1295000000000002</v>
      </c>
      <c r="Y43" s="307">
        <f t="shared" si="41"/>
        <v>194078460.00000003</v>
      </c>
      <c r="Z43" s="337"/>
      <c r="AA43" s="337">
        <f t="shared" si="42"/>
        <v>9.76525</v>
      </c>
      <c r="AB43" s="338">
        <v>3.99</v>
      </c>
      <c r="AC43" s="337">
        <f t="shared" si="43"/>
        <v>4.7425</v>
      </c>
      <c r="AD43" s="337">
        <v>0.7</v>
      </c>
      <c r="AE43" s="337">
        <v>0.6</v>
      </c>
      <c r="AF43" s="337"/>
      <c r="AG43" s="337">
        <f t="shared" si="44"/>
        <v>2.295</v>
      </c>
      <c r="AH43" s="337"/>
      <c r="AI43" s="337"/>
      <c r="AJ43" s="337"/>
      <c r="AK43" s="337">
        <f t="shared" si="45"/>
        <v>1.1475</v>
      </c>
      <c r="AL43" s="337"/>
      <c r="AM43" s="337"/>
      <c r="AN43" s="337"/>
      <c r="AO43" s="337"/>
      <c r="AP43" s="337"/>
      <c r="AQ43" s="337"/>
      <c r="AR43" s="337"/>
      <c r="AS43" s="464">
        <f t="shared" si="46"/>
        <v>1.03275</v>
      </c>
      <c r="AT43" s="485">
        <f>AA43*1490000*9</f>
        <v>130952002.5</v>
      </c>
      <c r="AU43" s="13"/>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row>
    <row r="44" spans="1:75" ht="15.75">
      <c r="A44" s="302">
        <v>4</v>
      </c>
      <c r="B44" s="303" t="s">
        <v>73</v>
      </c>
      <c r="C44" s="446"/>
      <c r="D44" s="446"/>
      <c r="E44" s="304">
        <f t="shared" si="36"/>
        <v>15.275500000000001</v>
      </c>
      <c r="F44" s="305">
        <v>6.78</v>
      </c>
      <c r="G44" s="304">
        <f t="shared" si="37"/>
        <v>6.835</v>
      </c>
      <c r="H44" s="304">
        <v>0.7</v>
      </c>
      <c r="I44" s="304">
        <v>0.6</v>
      </c>
      <c r="J44" s="304"/>
      <c r="K44" s="304">
        <f t="shared" si="38"/>
        <v>3.69</v>
      </c>
      <c r="L44" s="304"/>
      <c r="M44" s="304"/>
      <c r="N44" s="304"/>
      <c r="O44" s="319">
        <f t="shared" si="39"/>
        <v>1.845</v>
      </c>
      <c r="P44" s="304"/>
      <c r="Q44" s="304"/>
      <c r="R44" s="304"/>
      <c r="S44" s="305"/>
      <c r="T44" s="304"/>
      <c r="U44" s="304"/>
      <c r="V44" s="304"/>
      <c r="W44" s="304"/>
      <c r="X44" s="304">
        <f t="shared" si="40"/>
        <v>1.6605</v>
      </c>
      <c r="Y44" s="307">
        <f t="shared" si="41"/>
        <v>273125940</v>
      </c>
      <c r="Z44" s="337"/>
      <c r="AA44" s="337">
        <f t="shared" si="42"/>
        <v>9.76525</v>
      </c>
      <c r="AB44" s="337">
        <v>3.99</v>
      </c>
      <c r="AC44" s="337">
        <f t="shared" si="43"/>
        <v>4.7425</v>
      </c>
      <c r="AD44" s="337">
        <v>0.7</v>
      </c>
      <c r="AE44" s="337">
        <v>0.6</v>
      </c>
      <c r="AF44" s="337"/>
      <c r="AG44" s="337">
        <f t="shared" si="44"/>
        <v>2.295</v>
      </c>
      <c r="AH44" s="337"/>
      <c r="AI44" s="337"/>
      <c r="AJ44" s="337"/>
      <c r="AK44" s="337">
        <f t="shared" si="45"/>
        <v>1.1475</v>
      </c>
      <c r="AL44" s="337"/>
      <c r="AM44" s="337"/>
      <c r="AN44" s="337"/>
      <c r="AO44" s="337"/>
      <c r="AP44" s="337"/>
      <c r="AQ44" s="337"/>
      <c r="AR44" s="337"/>
      <c r="AS44" s="464">
        <f t="shared" si="46"/>
        <v>1.03275</v>
      </c>
      <c r="AT44" s="485">
        <f>AA44*1490000*12</f>
        <v>174602670</v>
      </c>
      <c r="AU44" s="13"/>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row>
    <row r="45" spans="1:75" ht="15.75">
      <c r="A45" s="302">
        <v>5</v>
      </c>
      <c r="B45" s="303" t="s">
        <v>72</v>
      </c>
      <c r="C45" s="446"/>
      <c r="D45" s="446"/>
      <c r="E45" s="304">
        <f t="shared" si="36"/>
        <v>7.319249999999999</v>
      </c>
      <c r="F45" s="305">
        <v>3.03</v>
      </c>
      <c r="G45" s="304">
        <f t="shared" si="37"/>
        <v>3.5625</v>
      </c>
      <c r="H45" s="304">
        <v>0.7</v>
      </c>
      <c r="I45" s="304">
        <v>0.2</v>
      </c>
      <c r="J45" s="304"/>
      <c r="K45" s="304">
        <f t="shared" si="38"/>
        <v>1.615</v>
      </c>
      <c r="L45" s="304"/>
      <c r="M45" s="304"/>
      <c r="N45" s="304"/>
      <c r="O45" s="319">
        <f t="shared" si="39"/>
        <v>0.8075</v>
      </c>
      <c r="P45" s="304"/>
      <c r="Q45" s="304"/>
      <c r="R45" s="304"/>
      <c r="S45" s="305"/>
      <c r="T45" s="304"/>
      <c r="U45" s="304"/>
      <c r="V45" s="304"/>
      <c r="W45" s="304">
        <v>0.24</v>
      </c>
      <c r="X45" s="304">
        <f t="shared" si="40"/>
        <v>0.72675</v>
      </c>
      <c r="Y45" s="307">
        <f t="shared" si="41"/>
        <v>130868189.99999997</v>
      </c>
      <c r="Z45" s="337"/>
      <c r="AA45" s="337">
        <f t="shared" si="42"/>
        <v>10.854500000000002</v>
      </c>
      <c r="AB45" s="337">
        <v>4.32</v>
      </c>
      <c r="AC45" s="337">
        <f t="shared" si="43"/>
        <v>5.405</v>
      </c>
      <c r="AD45" s="337">
        <v>0.7</v>
      </c>
      <c r="AE45" s="337">
        <v>0.7</v>
      </c>
      <c r="AF45" s="337"/>
      <c r="AG45" s="337">
        <f t="shared" si="44"/>
        <v>2.5100000000000002</v>
      </c>
      <c r="AH45" s="337"/>
      <c r="AI45" s="337"/>
      <c r="AJ45" s="337"/>
      <c r="AK45" s="337">
        <f t="shared" si="45"/>
        <v>1.2550000000000001</v>
      </c>
      <c r="AL45" s="337"/>
      <c r="AM45" s="337"/>
      <c r="AN45" s="337"/>
      <c r="AO45" s="337"/>
      <c r="AP45" s="337"/>
      <c r="AQ45" s="337"/>
      <c r="AR45" s="337">
        <v>0.24</v>
      </c>
      <c r="AS45" s="464">
        <f t="shared" si="46"/>
        <v>1.1295000000000002</v>
      </c>
      <c r="AT45" s="485">
        <f>AA45*1490000*12</f>
        <v>194078460.00000003</v>
      </c>
      <c r="AU45" s="13"/>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row>
    <row r="46" spans="1:75" ht="15.75">
      <c r="A46" s="302">
        <v>6</v>
      </c>
      <c r="B46" s="303" t="s">
        <v>67</v>
      </c>
      <c r="C46" s="446"/>
      <c r="D46" s="446"/>
      <c r="E46" s="304">
        <f t="shared" si="36"/>
        <v>7.67175</v>
      </c>
      <c r="F46" s="305">
        <v>3.33</v>
      </c>
      <c r="G46" s="304">
        <f t="shared" si="37"/>
        <v>3.5475000000000003</v>
      </c>
      <c r="H46" s="304">
        <v>0.7</v>
      </c>
      <c r="I46" s="304">
        <v>0.2</v>
      </c>
      <c r="J46" s="304"/>
      <c r="K46" s="304">
        <f t="shared" si="38"/>
        <v>1.7650000000000001</v>
      </c>
      <c r="L46" s="304"/>
      <c r="M46" s="304"/>
      <c r="N46" s="304"/>
      <c r="O46" s="319">
        <f t="shared" si="39"/>
        <v>0.8825000000000001</v>
      </c>
      <c r="P46" s="304"/>
      <c r="Q46" s="304"/>
      <c r="R46" s="304"/>
      <c r="S46" s="305"/>
      <c r="T46" s="304"/>
      <c r="U46" s="304"/>
      <c r="V46" s="304"/>
      <c r="W46" s="304"/>
      <c r="X46" s="304">
        <f t="shared" si="40"/>
        <v>0.7942500000000001</v>
      </c>
      <c r="Y46" s="307">
        <f t="shared" si="41"/>
        <v>137170890</v>
      </c>
      <c r="Z46" s="337"/>
      <c r="AA46" s="337">
        <f t="shared" si="42"/>
        <v>7.319249999999999</v>
      </c>
      <c r="AB46" s="337">
        <v>3.03</v>
      </c>
      <c r="AC46" s="337">
        <f t="shared" si="43"/>
        <v>3.5625</v>
      </c>
      <c r="AD46" s="337">
        <v>0.7</v>
      </c>
      <c r="AE46" s="337">
        <v>0.2</v>
      </c>
      <c r="AF46" s="337"/>
      <c r="AG46" s="337">
        <f t="shared" si="44"/>
        <v>1.615</v>
      </c>
      <c r="AH46" s="337"/>
      <c r="AI46" s="337"/>
      <c r="AJ46" s="337"/>
      <c r="AK46" s="337">
        <f t="shared" si="45"/>
        <v>0.8075</v>
      </c>
      <c r="AL46" s="337"/>
      <c r="AM46" s="337"/>
      <c r="AN46" s="337"/>
      <c r="AO46" s="337"/>
      <c r="AP46" s="337"/>
      <c r="AQ46" s="337"/>
      <c r="AR46" s="337">
        <v>0.24</v>
      </c>
      <c r="AS46" s="464">
        <f t="shared" si="46"/>
        <v>0.72675</v>
      </c>
      <c r="AT46" s="485">
        <f>AA46*1490000*3</f>
        <v>32717047.499999993</v>
      </c>
      <c r="AU46" s="13"/>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row>
    <row r="47" spans="1:75" ht="15.75">
      <c r="A47" s="302"/>
      <c r="B47" s="303"/>
      <c r="C47" s="446"/>
      <c r="D47" s="446"/>
      <c r="E47" s="304"/>
      <c r="F47" s="305"/>
      <c r="G47" s="304"/>
      <c r="H47" s="304"/>
      <c r="I47" s="304"/>
      <c r="J47" s="304"/>
      <c r="K47" s="304"/>
      <c r="L47" s="304"/>
      <c r="M47" s="304"/>
      <c r="N47" s="304"/>
      <c r="O47" s="319"/>
      <c r="P47" s="304"/>
      <c r="Q47" s="304"/>
      <c r="R47" s="304"/>
      <c r="S47" s="305"/>
      <c r="T47" s="304"/>
      <c r="U47" s="304"/>
      <c r="V47" s="304"/>
      <c r="W47" s="304"/>
      <c r="X47" s="304"/>
      <c r="Y47" s="307"/>
      <c r="Z47" s="337"/>
      <c r="AA47" s="337">
        <f t="shared" si="42"/>
        <v>7.9315</v>
      </c>
      <c r="AB47" s="338">
        <v>3.34</v>
      </c>
      <c r="AC47" s="337">
        <f t="shared" si="43"/>
        <v>3.795</v>
      </c>
      <c r="AD47" s="337">
        <v>0.7</v>
      </c>
      <c r="AE47" s="337">
        <v>0.2</v>
      </c>
      <c r="AF47" s="337"/>
      <c r="AG47" s="337">
        <f t="shared" si="44"/>
        <v>1.77</v>
      </c>
      <c r="AH47" s="337"/>
      <c r="AI47" s="337"/>
      <c r="AJ47" s="337"/>
      <c r="AK47" s="337">
        <f t="shared" si="45"/>
        <v>0.885</v>
      </c>
      <c r="AL47" s="337"/>
      <c r="AM47" s="337"/>
      <c r="AN47" s="337"/>
      <c r="AO47" s="337"/>
      <c r="AP47" s="337"/>
      <c r="AQ47" s="337"/>
      <c r="AR47" s="337">
        <v>0.24</v>
      </c>
      <c r="AS47" s="464">
        <f t="shared" si="46"/>
        <v>0.7965</v>
      </c>
      <c r="AT47" s="485">
        <f>AA47*1490000*9</f>
        <v>106361415</v>
      </c>
      <c r="AU47" s="13"/>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row>
    <row r="48" spans="1:75" ht="15.75">
      <c r="A48" s="316" t="s">
        <v>159</v>
      </c>
      <c r="B48" s="339" t="s">
        <v>158</v>
      </c>
      <c r="C48" s="445">
        <v>6</v>
      </c>
      <c r="D48" s="445">
        <v>5</v>
      </c>
      <c r="E48" s="299">
        <f aca="true" t="shared" si="47" ref="E48:X48">SUM(E49:E54)</f>
        <v>42.104499999999994</v>
      </c>
      <c r="F48" s="299">
        <f t="shared" si="47"/>
        <v>19.32</v>
      </c>
      <c r="G48" s="299">
        <f t="shared" si="47"/>
        <v>18.279999999999998</v>
      </c>
      <c r="H48" s="299">
        <f t="shared" si="47"/>
        <v>3.5</v>
      </c>
      <c r="I48" s="299">
        <f t="shared" si="47"/>
        <v>0.7</v>
      </c>
      <c r="J48" s="299">
        <f t="shared" si="47"/>
        <v>0</v>
      </c>
      <c r="K48" s="299">
        <f t="shared" si="47"/>
        <v>8.84</v>
      </c>
      <c r="L48" s="299">
        <f t="shared" si="47"/>
        <v>0</v>
      </c>
      <c r="M48" s="299">
        <f t="shared" si="47"/>
        <v>0</v>
      </c>
      <c r="N48" s="299">
        <f t="shared" si="47"/>
        <v>0</v>
      </c>
      <c r="O48" s="299">
        <f t="shared" si="47"/>
        <v>4.42</v>
      </c>
      <c r="P48" s="299">
        <f t="shared" si="47"/>
        <v>0</v>
      </c>
      <c r="Q48" s="299">
        <f t="shared" si="47"/>
        <v>0</v>
      </c>
      <c r="R48" s="299">
        <f t="shared" si="47"/>
        <v>0</v>
      </c>
      <c r="S48" s="299">
        <f t="shared" si="47"/>
        <v>0</v>
      </c>
      <c r="T48" s="299">
        <f t="shared" si="47"/>
        <v>0</v>
      </c>
      <c r="U48" s="299">
        <f t="shared" si="47"/>
        <v>0.6</v>
      </c>
      <c r="V48" s="299">
        <f t="shared" si="47"/>
        <v>0</v>
      </c>
      <c r="W48" s="299">
        <f t="shared" si="47"/>
        <v>0.22</v>
      </c>
      <c r="X48" s="299">
        <f t="shared" si="47"/>
        <v>4.5045</v>
      </c>
      <c r="Y48" s="300">
        <f>ROUNDUP(SUM(Y49:Y54),-3)</f>
        <v>752829000</v>
      </c>
      <c r="Z48" s="337"/>
      <c r="AA48" s="337">
        <f t="shared" si="42"/>
        <v>7.67175</v>
      </c>
      <c r="AB48" s="337">
        <v>3.33</v>
      </c>
      <c r="AC48" s="337">
        <f t="shared" si="43"/>
        <v>3.5475000000000003</v>
      </c>
      <c r="AD48" s="337">
        <v>0.7</v>
      </c>
      <c r="AE48" s="337">
        <v>0.2</v>
      </c>
      <c r="AF48" s="337"/>
      <c r="AG48" s="337">
        <f t="shared" si="44"/>
        <v>1.7650000000000001</v>
      </c>
      <c r="AH48" s="337"/>
      <c r="AI48" s="337"/>
      <c r="AJ48" s="337"/>
      <c r="AK48" s="337">
        <f t="shared" si="45"/>
        <v>0.8825000000000001</v>
      </c>
      <c r="AL48" s="337"/>
      <c r="AM48" s="337"/>
      <c r="AN48" s="337"/>
      <c r="AO48" s="337"/>
      <c r="AP48" s="337"/>
      <c r="AQ48" s="337"/>
      <c r="AR48" s="337"/>
      <c r="AS48" s="464">
        <f t="shared" si="46"/>
        <v>0.7942500000000001</v>
      </c>
      <c r="AT48" s="485">
        <f>AA48*1490000*1</f>
        <v>11430907.5</v>
      </c>
      <c r="AU48" s="23"/>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row>
    <row r="49" spans="1:75" ht="15.75">
      <c r="A49" s="302">
        <v>1</v>
      </c>
      <c r="B49" s="340" t="s">
        <v>34</v>
      </c>
      <c r="C49" s="446"/>
      <c r="D49" s="446"/>
      <c r="E49" s="304">
        <f aca="true" t="shared" si="48" ref="E49:E54">F49+G49+X49</f>
        <v>9.692749999999998</v>
      </c>
      <c r="F49" s="305">
        <v>3.99</v>
      </c>
      <c r="G49" s="304">
        <f aca="true" t="shared" si="49" ref="G49:G54">SUM(H49:W49)</f>
        <v>4.7375</v>
      </c>
      <c r="H49" s="304">
        <v>0.7</v>
      </c>
      <c r="I49" s="304">
        <v>0.3</v>
      </c>
      <c r="J49" s="304"/>
      <c r="K49" s="304">
        <f>(F49+I49)*50%</f>
        <v>2.145</v>
      </c>
      <c r="L49" s="304"/>
      <c r="M49" s="304"/>
      <c r="N49" s="304"/>
      <c r="O49" s="304">
        <f>(F49+I49)*25%</f>
        <v>1.0725</v>
      </c>
      <c r="P49" s="304"/>
      <c r="Q49" s="304"/>
      <c r="R49" s="304"/>
      <c r="S49" s="305"/>
      <c r="T49" s="304"/>
      <c r="U49" s="304">
        <v>0.3</v>
      </c>
      <c r="V49" s="304"/>
      <c r="W49" s="304">
        <v>0.22</v>
      </c>
      <c r="X49" s="304">
        <f aca="true" t="shared" si="50" ref="X49:X54">(F49+I49)*22.5%</f>
        <v>0.96525</v>
      </c>
      <c r="Y49" s="307">
        <f aca="true" t="shared" si="51" ref="Y49:Y54">E49*1490000*12</f>
        <v>173306369.99999997</v>
      </c>
      <c r="Z49" s="337"/>
      <c r="AA49" s="337">
        <f t="shared" si="42"/>
        <v>8.3235</v>
      </c>
      <c r="AB49" s="338">
        <v>3.66</v>
      </c>
      <c r="AC49" s="337">
        <f>SUM(AD49:AR49)</f>
        <v>3.795</v>
      </c>
      <c r="AD49" s="337">
        <v>0.7</v>
      </c>
      <c r="AE49" s="337">
        <v>0.2</v>
      </c>
      <c r="AF49" s="337"/>
      <c r="AG49" s="337">
        <f t="shared" si="44"/>
        <v>1.9300000000000002</v>
      </c>
      <c r="AH49" s="337"/>
      <c r="AI49" s="337"/>
      <c r="AJ49" s="337"/>
      <c r="AK49" s="337">
        <f t="shared" si="45"/>
        <v>0.9650000000000001</v>
      </c>
      <c r="AL49" s="337"/>
      <c r="AM49" s="337"/>
      <c r="AN49" s="337"/>
      <c r="AO49" s="337"/>
      <c r="AP49" s="337"/>
      <c r="AQ49" s="337"/>
      <c r="AR49" s="337"/>
      <c r="AS49" s="464">
        <f t="shared" si="46"/>
        <v>0.8685</v>
      </c>
      <c r="AT49" s="485">
        <f>AA49*1490000*11</f>
        <v>136422164.99999997</v>
      </c>
      <c r="AU49" s="13"/>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row>
    <row r="50" spans="1:75" ht="15.75">
      <c r="A50" s="302">
        <v>2</v>
      </c>
      <c r="B50" s="340" t="s">
        <v>157</v>
      </c>
      <c r="C50" s="446"/>
      <c r="D50" s="446"/>
      <c r="E50" s="304">
        <f t="shared" si="48"/>
        <v>8.3235</v>
      </c>
      <c r="F50" s="305">
        <v>3.66</v>
      </c>
      <c r="G50" s="304">
        <f t="shared" si="49"/>
        <v>3.795</v>
      </c>
      <c r="H50" s="304">
        <v>0.7</v>
      </c>
      <c r="I50" s="304">
        <v>0.2</v>
      </c>
      <c r="J50" s="304"/>
      <c r="K50" s="304">
        <f>(F50+I50)*50%</f>
        <v>1.9300000000000002</v>
      </c>
      <c r="L50" s="304"/>
      <c r="M50" s="304"/>
      <c r="N50" s="304"/>
      <c r="O50" s="304">
        <f>(F50+I50)*25%</f>
        <v>0.9650000000000001</v>
      </c>
      <c r="P50" s="304"/>
      <c r="Q50" s="304"/>
      <c r="R50" s="304"/>
      <c r="S50" s="305"/>
      <c r="T50" s="304"/>
      <c r="U50" s="304"/>
      <c r="V50" s="304"/>
      <c r="W50" s="304"/>
      <c r="X50" s="304">
        <f t="shared" si="50"/>
        <v>0.8685</v>
      </c>
      <c r="Y50" s="307">
        <f t="shared" si="51"/>
        <v>148824179.99999997</v>
      </c>
      <c r="Z50" s="337"/>
      <c r="AA50" s="337"/>
      <c r="AB50" s="337"/>
      <c r="AC50" s="337"/>
      <c r="AD50" s="337"/>
      <c r="AE50" s="337"/>
      <c r="AF50" s="337"/>
      <c r="AG50" s="337"/>
      <c r="AH50" s="337"/>
      <c r="AI50" s="337"/>
      <c r="AJ50" s="337"/>
      <c r="AK50" s="337"/>
      <c r="AL50" s="337"/>
      <c r="AM50" s="337"/>
      <c r="AN50" s="337"/>
      <c r="AO50" s="337"/>
      <c r="AP50" s="337"/>
      <c r="AQ50" s="337"/>
      <c r="AR50" s="337"/>
      <c r="AS50" s="464"/>
      <c r="AT50" s="486">
        <f>SUM(AT51:AT53)</f>
        <v>281580000</v>
      </c>
      <c r="AU50" s="13"/>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row>
    <row r="51" spans="1:75" ht="15.75">
      <c r="A51" s="302">
        <v>3</v>
      </c>
      <c r="B51" s="340" t="s">
        <v>156</v>
      </c>
      <c r="C51" s="446"/>
      <c r="D51" s="446"/>
      <c r="E51" s="304">
        <f t="shared" si="48"/>
        <v>9.927</v>
      </c>
      <c r="F51" s="305">
        <v>4.32</v>
      </c>
      <c r="G51" s="304">
        <f t="shared" si="49"/>
        <v>4.59</v>
      </c>
      <c r="H51" s="304">
        <v>0.7</v>
      </c>
      <c r="I51" s="304">
        <v>0.2</v>
      </c>
      <c r="J51" s="304"/>
      <c r="K51" s="304">
        <f>(F51+I51)*50%</f>
        <v>2.2600000000000002</v>
      </c>
      <c r="L51" s="304"/>
      <c r="M51" s="304"/>
      <c r="N51" s="304"/>
      <c r="O51" s="304">
        <f>(F51+I51)*25%</f>
        <v>1.1300000000000001</v>
      </c>
      <c r="P51" s="304"/>
      <c r="Q51" s="304"/>
      <c r="R51" s="304"/>
      <c r="S51" s="305"/>
      <c r="T51" s="304"/>
      <c r="U51" s="304">
        <v>0.3</v>
      </c>
      <c r="V51" s="304"/>
      <c r="W51" s="304"/>
      <c r="X51" s="304">
        <f t="shared" si="50"/>
        <v>1.0170000000000001</v>
      </c>
      <c r="Y51" s="307">
        <f t="shared" si="51"/>
        <v>177494760</v>
      </c>
      <c r="Z51" s="337"/>
      <c r="AA51" s="337"/>
      <c r="AB51" s="337"/>
      <c r="AC51" s="337"/>
      <c r="AD51" s="337"/>
      <c r="AE51" s="337"/>
      <c r="AF51" s="337"/>
      <c r="AG51" s="337"/>
      <c r="AH51" s="337"/>
      <c r="AI51" s="337"/>
      <c r="AJ51" s="337"/>
      <c r="AK51" s="337"/>
      <c r="AL51" s="337"/>
      <c r="AM51" s="337"/>
      <c r="AN51" s="337"/>
      <c r="AO51" s="337"/>
      <c r="AP51" s="337"/>
      <c r="AQ51" s="337"/>
      <c r="AR51" s="337"/>
      <c r="AS51" s="464"/>
      <c r="AT51" s="485">
        <v>108186000</v>
      </c>
      <c r="AU51" s="13"/>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row>
    <row r="52" spans="1:75" ht="15.75">
      <c r="A52" s="302">
        <v>4</v>
      </c>
      <c r="B52" s="340" t="s">
        <v>155</v>
      </c>
      <c r="C52" s="446"/>
      <c r="D52" s="446"/>
      <c r="E52" s="304">
        <f t="shared" si="48"/>
        <v>2.8665</v>
      </c>
      <c r="F52" s="305">
        <v>2.34</v>
      </c>
      <c r="G52" s="304">
        <f t="shared" si="49"/>
        <v>0</v>
      </c>
      <c r="H52" s="304"/>
      <c r="I52" s="304"/>
      <c r="J52" s="304"/>
      <c r="K52" s="304"/>
      <c r="L52" s="304"/>
      <c r="M52" s="304"/>
      <c r="N52" s="304"/>
      <c r="O52" s="304"/>
      <c r="P52" s="304"/>
      <c r="Q52" s="304"/>
      <c r="R52" s="304"/>
      <c r="S52" s="305"/>
      <c r="T52" s="304"/>
      <c r="U52" s="304"/>
      <c r="V52" s="304"/>
      <c r="W52" s="304"/>
      <c r="X52" s="304">
        <f t="shared" si="50"/>
        <v>0.5265</v>
      </c>
      <c r="Y52" s="307">
        <f t="shared" si="51"/>
        <v>51253020</v>
      </c>
      <c r="Z52" s="337"/>
      <c r="AA52" s="337"/>
      <c r="AB52" s="337"/>
      <c r="AC52" s="337"/>
      <c r="AD52" s="337"/>
      <c r="AE52" s="337"/>
      <c r="AF52" s="337"/>
      <c r="AG52" s="337"/>
      <c r="AH52" s="337"/>
      <c r="AI52" s="337"/>
      <c r="AJ52" s="337"/>
      <c r="AK52" s="337"/>
      <c r="AL52" s="337"/>
      <c r="AM52" s="337"/>
      <c r="AN52" s="337"/>
      <c r="AO52" s="337"/>
      <c r="AP52" s="337"/>
      <c r="AQ52" s="337"/>
      <c r="AR52" s="337"/>
      <c r="AS52" s="464"/>
      <c r="AT52" s="485">
        <v>108186000</v>
      </c>
      <c r="AU52" s="13"/>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row>
    <row r="53" spans="1:75" ht="15.75">
      <c r="A53" s="302">
        <v>5</v>
      </c>
      <c r="B53" s="340" t="s">
        <v>154</v>
      </c>
      <c r="C53" s="446"/>
      <c r="D53" s="446"/>
      <c r="E53" s="304">
        <f t="shared" si="48"/>
        <v>5.3215</v>
      </c>
      <c r="F53" s="305">
        <v>2.34</v>
      </c>
      <c r="G53" s="304">
        <f t="shared" si="49"/>
        <v>2.455</v>
      </c>
      <c r="H53" s="304">
        <v>0.7</v>
      </c>
      <c r="I53" s="304"/>
      <c r="J53" s="304"/>
      <c r="K53" s="304">
        <f>(F53+I53)*50%</f>
        <v>1.17</v>
      </c>
      <c r="L53" s="304"/>
      <c r="M53" s="304"/>
      <c r="N53" s="304"/>
      <c r="O53" s="304">
        <f>(F53+I53)*25%</f>
        <v>0.585</v>
      </c>
      <c r="P53" s="304"/>
      <c r="Q53" s="304"/>
      <c r="R53" s="304"/>
      <c r="S53" s="305"/>
      <c r="T53" s="304"/>
      <c r="U53" s="304"/>
      <c r="V53" s="304"/>
      <c r="W53" s="304"/>
      <c r="X53" s="304">
        <f t="shared" si="50"/>
        <v>0.5265</v>
      </c>
      <c r="Y53" s="307">
        <f t="shared" si="51"/>
        <v>95148420.00000001</v>
      </c>
      <c r="Z53" s="341"/>
      <c r="AA53" s="337"/>
      <c r="AB53" s="341"/>
      <c r="AC53" s="341"/>
      <c r="AD53" s="341"/>
      <c r="AE53" s="341"/>
      <c r="AF53" s="341"/>
      <c r="AG53" s="341"/>
      <c r="AH53" s="341"/>
      <c r="AI53" s="341"/>
      <c r="AJ53" s="341"/>
      <c r="AK53" s="341"/>
      <c r="AL53" s="341"/>
      <c r="AM53" s="341"/>
      <c r="AN53" s="341"/>
      <c r="AO53" s="341"/>
      <c r="AP53" s="341"/>
      <c r="AQ53" s="341"/>
      <c r="AR53" s="341"/>
      <c r="AS53" s="465"/>
      <c r="AT53" s="485">
        <v>65208000</v>
      </c>
      <c r="AU53" s="13"/>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row>
    <row r="54" spans="1:75" ht="15.75">
      <c r="A54" s="302">
        <v>6</v>
      </c>
      <c r="B54" s="340" t="s">
        <v>153</v>
      </c>
      <c r="C54" s="446"/>
      <c r="D54" s="446"/>
      <c r="E54" s="304">
        <f t="shared" si="48"/>
        <v>5.97325</v>
      </c>
      <c r="F54" s="305">
        <v>2.67</v>
      </c>
      <c r="G54" s="304">
        <f t="shared" si="49"/>
        <v>2.7025</v>
      </c>
      <c r="H54" s="304">
        <v>0.7</v>
      </c>
      <c r="I54" s="304"/>
      <c r="J54" s="304"/>
      <c r="K54" s="304">
        <f>(F54+I54)*50%</f>
        <v>1.335</v>
      </c>
      <c r="L54" s="304"/>
      <c r="M54" s="304"/>
      <c r="N54" s="304"/>
      <c r="O54" s="304">
        <f>(F54+I54)*25%</f>
        <v>0.6675</v>
      </c>
      <c r="P54" s="304"/>
      <c r="Q54" s="304"/>
      <c r="R54" s="304"/>
      <c r="S54" s="305"/>
      <c r="T54" s="304"/>
      <c r="U54" s="304"/>
      <c r="V54" s="304"/>
      <c r="W54" s="304"/>
      <c r="X54" s="304">
        <f t="shared" si="50"/>
        <v>0.60075</v>
      </c>
      <c r="Y54" s="307">
        <f t="shared" si="51"/>
        <v>106801710</v>
      </c>
      <c r="Z54" s="337"/>
      <c r="AA54" s="337"/>
      <c r="AB54" s="337"/>
      <c r="AC54" s="337"/>
      <c r="AD54" s="337"/>
      <c r="AE54" s="337"/>
      <c r="AF54" s="337"/>
      <c r="AG54" s="337"/>
      <c r="AH54" s="337"/>
      <c r="AI54" s="337"/>
      <c r="AJ54" s="337"/>
      <c r="AK54" s="337"/>
      <c r="AL54" s="337"/>
      <c r="AM54" s="337"/>
      <c r="AN54" s="337"/>
      <c r="AO54" s="337"/>
      <c r="AP54" s="337"/>
      <c r="AQ54" s="337"/>
      <c r="AR54" s="337"/>
      <c r="AS54" s="464"/>
      <c r="AT54" s="485"/>
      <c r="AU54" s="13"/>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row>
    <row r="55" spans="1:75" ht="15.75">
      <c r="A55" s="316"/>
      <c r="B55" s="342"/>
      <c r="C55" s="445"/>
      <c r="D55" s="445"/>
      <c r="E55" s="299"/>
      <c r="F55" s="299"/>
      <c r="G55" s="299"/>
      <c r="H55" s="299"/>
      <c r="I55" s="299"/>
      <c r="J55" s="299"/>
      <c r="K55" s="299"/>
      <c r="L55" s="299"/>
      <c r="M55" s="299"/>
      <c r="N55" s="299"/>
      <c r="O55" s="299"/>
      <c r="P55" s="299"/>
      <c r="Q55" s="299"/>
      <c r="R55" s="299"/>
      <c r="S55" s="299"/>
      <c r="T55" s="299"/>
      <c r="U55" s="299"/>
      <c r="V55" s="299"/>
      <c r="W55" s="299"/>
      <c r="X55" s="299"/>
      <c r="Y55" s="299">
        <f>Y48-Y52</f>
        <v>701575980</v>
      </c>
      <c r="Z55" s="343">
        <v>7</v>
      </c>
      <c r="AA55" s="343">
        <f>SUM(AA56:AA62)</f>
        <v>46.22474999999999</v>
      </c>
      <c r="AB55" s="343">
        <f>SUM(AB56:AB62)</f>
        <v>23.110000000000003</v>
      </c>
      <c r="AC55" s="343">
        <f>SUM(AC56:AC62)</f>
        <v>17.8475</v>
      </c>
      <c r="AD55" s="343">
        <f>SUM(AD56:AD62)</f>
        <v>3.5</v>
      </c>
      <c r="AE55" s="343">
        <f aca="true" t="shared" si="52" ref="AE55:AS55">SUM(AE56:AE62)</f>
        <v>0.3</v>
      </c>
      <c r="AF55" s="343">
        <f t="shared" si="52"/>
        <v>0</v>
      </c>
      <c r="AG55" s="343">
        <f t="shared" si="52"/>
        <v>9.364999999999998</v>
      </c>
      <c r="AH55" s="343">
        <f t="shared" si="52"/>
        <v>0</v>
      </c>
      <c r="AI55" s="343">
        <f t="shared" si="52"/>
        <v>0</v>
      </c>
      <c r="AJ55" s="343">
        <f t="shared" si="52"/>
        <v>0</v>
      </c>
      <c r="AK55" s="343">
        <f t="shared" si="52"/>
        <v>4.682499999999999</v>
      </c>
      <c r="AL55" s="343">
        <f t="shared" si="52"/>
        <v>0</v>
      </c>
      <c r="AM55" s="343">
        <f t="shared" si="52"/>
        <v>0</v>
      </c>
      <c r="AN55" s="343">
        <f t="shared" si="52"/>
        <v>0</v>
      </c>
      <c r="AO55" s="343">
        <f t="shared" si="52"/>
        <v>0</v>
      </c>
      <c r="AP55" s="343">
        <f t="shared" si="52"/>
        <v>0</v>
      </c>
      <c r="AQ55" s="343">
        <f t="shared" si="52"/>
        <v>0</v>
      </c>
      <c r="AR55" s="343">
        <f t="shared" si="52"/>
        <v>0</v>
      </c>
      <c r="AS55" s="466">
        <f t="shared" si="52"/>
        <v>5.267250000000001</v>
      </c>
      <c r="AT55" s="487">
        <f>SUM(AT56:AT62)</f>
        <v>760613710</v>
      </c>
      <c r="AU55" s="23"/>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row>
    <row r="56" spans="1:75" ht="15.75">
      <c r="A56" s="302"/>
      <c r="B56" s="344"/>
      <c r="C56" s="446"/>
      <c r="D56" s="446"/>
      <c r="E56" s="304"/>
      <c r="F56" s="305"/>
      <c r="G56" s="304"/>
      <c r="H56" s="304"/>
      <c r="I56" s="304"/>
      <c r="J56" s="304"/>
      <c r="K56" s="304"/>
      <c r="L56" s="304"/>
      <c r="M56" s="304"/>
      <c r="N56" s="304"/>
      <c r="O56" s="345"/>
      <c r="P56" s="304"/>
      <c r="Q56" s="304"/>
      <c r="R56" s="304"/>
      <c r="S56" s="305"/>
      <c r="T56" s="304"/>
      <c r="U56" s="304"/>
      <c r="V56" s="304"/>
      <c r="W56" s="304"/>
      <c r="X56" s="304"/>
      <c r="Y56" s="307"/>
      <c r="Z56" s="346"/>
      <c r="AA56" s="346">
        <f aca="true" t="shared" si="53" ref="AA56:AA62">AB56+AC56+AS56</f>
        <v>13.339999999999998</v>
      </c>
      <c r="AB56" s="347">
        <v>6.1</v>
      </c>
      <c r="AC56" s="348">
        <f aca="true" t="shared" si="54" ref="AC56:AC62">SUM(AD56:AR56)</f>
        <v>5.799999999999999</v>
      </c>
      <c r="AD56" s="346">
        <v>0.7</v>
      </c>
      <c r="AE56" s="346">
        <v>0.3</v>
      </c>
      <c r="AF56" s="346"/>
      <c r="AG56" s="346">
        <f>(AB56+AE56)*50%</f>
        <v>3.1999999999999997</v>
      </c>
      <c r="AH56" s="346"/>
      <c r="AI56" s="346"/>
      <c r="AJ56" s="346"/>
      <c r="AK56" s="346">
        <f>(AB56+AE56)*25%</f>
        <v>1.5999999999999999</v>
      </c>
      <c r="AL56" s="347"/>
      <c r="AM56" s="346"/>
      <c r="AN56" s="346"/>
      <c r="AO56" s="346"/>
      <c r="AP56" s="349"/>
      <c r="AQ56" s="346"/>
      <c r="AR56" s="346"/>
      <c r="AS56" s="467">
        <f aca="true" t="shared" si="55" ref="AS56:AS61">(AB56+AE56)*22.5%</f>
        <v>1.44</v>
      </c>
      <c r="AT56" s="350">
        <f>AA56*1490000*12</f>
        <v>238519199.99999994</v>
      </c>
      <c r="AU56" s="13"/>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row>
    <row r="57" spans="1:75" ht="15.75">
      <c r="A57" s="302"/>
      <c r="B57" s="340"/>
      <c r="C57" s="446"/>
      <c r="D57" s="446"/>
      <c r="E57" s="304"/>
      <c r="F57" s="305"/>
      <c r="G57" s="304"/>
      <c r="H57" s="304"/>
      <c r="I57" s="304"/>
      <c r="J57" s="304"/>
      <c r="K57" s="304"/>
      <c r="L57" s="304"/>
      <c r="M57" s="304"/>
      <c r="N57" s="304"/>
      <c r="O57" s="304"/>
      <c r="P57" s="304"/>
      <c r="Q57" s="304"/>
      <c r="R57" s="304"/>
      <c r="S57" s="305"/>
      <c r="T57" s="304"/>
      <c r="U57" s="304"/>
      <c r="V57" s="304"/>
      <c r="W57" s="304"/>
      <c r="X57" s="304"/>
      <c r="Y57" s="307"/>
      <c r="Z57" s="346"/>
      <c r="AA57" s="346">
        <f t="shared" si="53"/>
        <v>6.625</v>
      </c>
      <c r="AB57" s="347">
        <v>3</v>
      </c>
      <c r="AC57" s="348">
        <f t="shared" si="54"/>
        <v>2.95</v>
      </c>
      <c r="AD57" s="346">
        <v>0.7</v>
      </c>
      <c r="AE57" s="346"/>
      <c r="AF57" s="346"/>
      <c r="AG57" s="346">
        <f>(AB57+AE57)*50%</f>
        <v>1.5</v>
      </c>
      <c r="AH57" s="346"/>
      <c r="AI57" s="346"/>
      <c r="AJ57" s="346"/>
      <c r="AK57" s="346">
        <f>(AB57+AE57)*25%</f>
        <v>0.75</v>
      </c>
      <c r="AL57" s="347"/>
      <c r="AM57" s="346"/>
      <c r="AN57" s="346"/>
      <c r="AO57" s="346"/>
      <c r="AP57" s="349"/>
      <c r="AQ57" s="346"/>
      <c r="AR57" s="346"/>
      <c r="AS57" s="467">
        <f t="shared" si="55"/>
        <v>0.675</v>
      </c>
      <c r="AT57" s="350">
        <f>AA57*1490000*12</f>
        <v>118455000</v>
      </c>
      <c r="AU57" s="13"/>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row>
    <row r="58" spans="1:75" ht="15.75">
      <c r="A58" s="316" t="s">
        <v>152</v>
      </c>
      <c r="B58" s="342" t="s">
        <v>151</v>
      </c>
      <c r="C58" s="445">
        <v>6</v>
      </c>
      <c r="D58" s="445">
        <v>3</v>
      </c>
      <c r="E58" s="299">
        <f aca="true" t="shared" si="56" ref="E58:X58">SUM(E59:E62)</f>
        <v>33.10275</v>
      </c>
      <c r="F58" s="299">
        <f t="shared" si="56"/>
        <v>17.79</v>
      </c>
      <c r="G58" s="299">
        <f t="shared" si="56"/>
        <v>11.2425</v>
      </c>
      <c r="H58" s="299">
        <f t="shared" si="56"/>
        <v>2.0999999999999996</v>
      </c>
      <c r="I58" s="299">
        <f t="shared" si="56"/>
        <v>0.3</v>
      </c>
      <c r="J58" s="299">
        <f t="shared" si="56"/>
        <v>0</v>
      </c>
      <c r="K58" s="299">
        <f t="shared" si="56"/>
        <v>5.535</v>
      </c>
      <c r="L58" s="299">
        <f t="shared" si="56"/>
        <v>0</v>
      </c>
      <c r="M58" s="299">
        <f t="shared" si="56"/>
        <v>0</v>
      </c>
      <c r="N58" s="299">
        <f t="shared" si="56"/>
        <v>0</v>
      </c>
      <c r="O58" s="299">
        <f t="shared" si="56"/>
        <v>2.7675</v>
      </c>
      <c r="P58" s="299">
        <f t="shared" si="56"/>
        <v>0</v>
      </c>
      <c r="Q58" s="299">
        <f t="shared" si="56"/>
        <v>0</v>
      </c>
      <c r="R58" s="299">
        <f t="shared" si="56"/>
        <v>0</v>
      </c>
      <c r="S58" s="299">
        <f t="shared" si="56"/>
        <v>0</v>
      </c>
      <c r="T58" s="299">
        <f t="shared" si="56"/>
        <v>0</v>
      </c>
      <c r="U58" s="299">
        <f t="shared" si="56"/>
        <v>0.3</v>
      </c>
      <c r="V58" s="299">
        <f t="shared" si="56"/>
        <v>0</v>
      </c>
      <c r="W58" s="299">
        <f t="shared" si="56"/>
        <v>0.24</v>
      </c>
      <c r="X58" s="299">
        <f t="shared" si="56"/>
        <v>4.07025</v>
      </c>
      <c r="Y58" s="300">
        <f>ROUNDUP(SUM(Y59:Y62),-3)</f>
        <v>591878000</v>
      </c>
      <c r="Z58" s="346"/>
      <c r="AA58" s="346">
        <f t="shared" si="53"/>
        <v>5.3215</v>
      </c>
      <c r="AB58" s="347">
        <v>2.34</v>
      </c>
      <c r="AC58" s="348">
        <f t="shared" si="54"/>
        <v>2.455</v>
      </c>
      <c r="AD58" s="346">
        <v>0.7</v>
      </c>
      <c r="AE58" s="346"/>
      <c r="AF58" s="346"/>
      <c r="AG58" s="346">
        <f>(AB58+AE58)*50%</f>
        <v>1.17</v>
      </c>
      <c r="AH58" s="346"/>
      <c r="AI58" s="346"/>
      <c r="AJ58" s="346"/>
      <c r="AK58" s="346">
        <f>(AB58+AE58)*25%</f>
        <v>0.585</v>
      </c>
      <c r="AL58" s="347"/>
      <c r="AM58" s="346"/>
      <c r="AN58" s="346"/>
      <c r="AO58" s="346"/>
      <c r="AP58" s="349"/>
      <c r="AQ58" s="346"/>
      <c r="AR58" s="346"/>
      <c r="AS58" s="467">
        <f t="shared" si="55"/>
        <v>0.5265</v>
      </c>
      <c r="AT58" s="350">
        <f>AA58*1490000*8</f>
        <v>63432280.00000001</v>
      </c>
      <c r="AU58" s="23"/>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row>
    <row r="59" spans="1:75" ht="15.75">
      <c r="A59" s="316">
        <v>1</v>
      </c>
      <c r="B59" s="351" t="s">
        <v>42</v>
      </c>
      <c r="C59" s="446"/>
      <c r="D59" s="446"/>
      <c r="E59" s="319">
        <f>F59+G59+X59</f>
        <v>13.208499999999999</v>
      </c>
      <c r="F59" s="305">
        <v>5.76</v>
      </c>
      <c r="G59" s="304">
        <f>SUM(H59:W59)</f>
        <v>6.084999999999999</v>
      </c>
      <c r="H59" s="304">
        <v>0.7</v>
      </c>
      <c r="I59" s="304">
        <v>0.3</v>
      </c>
      <c r="J59" s="304"/>
      <c r="K59" s="304">
        <f>(F59+I59)*50%</f>
        <v>3.03</v>
      </c>
      <c r="L59" s="304"/>
      <c r="M59" s="304"/>
      <c r="N59" s="304"/>
      <c r="O59" s="319">
        <f>(F59+I59)*25%</f>
        <v>1.515</v>
      </c>
      <c r="P59" s="304"/>
      <c r="Q59" s="304"/>
      <c r="R59" s="304"/>
      <c r="S59" s="305"/>
      <c r="T59" s="304"/>
      <c r="U59" s="304">
        <v>0.3</v>
      </c>
      <c r="V59" s="304"/>
      <c r="W59" s="319">
        <v>0.24</v>
      </c>
      <c r="X59" s="304">
        <f>(F59+I59)*0.225</f>
        <v>1.3635</v>
      </c>
      <c r="Y59" s="307">
        <f>E59*1490000*12</f>
        <v>236167980</v>
      </c>
      <c r="Z59" s="352"/>
      <c r="AA59" s="346">
        <f t="shared" si="53"/>
        <v>2.8665</v>
      </c>
      <c r="AB59" s="353">
        <v>2.34</v>
      </c>
      <c r="AC59" s="348">
        <f t="shared" si="54"/>
        <v>0</v>
      </c>
      <c r="AD59" s="346"/>
      <c r="AE59" s="352"/>
      <c r="AF59" s="352"/>
      <c r="AG59" s="346"/>
      <c r="AH59" s="352"/>
      <c r="AI59" s="352"/>
      <c r="AJ59" s="352"/>
      <c r="AK59" s="346"/>
      <c r="AL59" s="353"/>
      <c r="AM59" s="352"/>
      <c r="AN59" s="352"/>
      <c r="AO59" s="352"/>
      <c r="AP59" s="354"/>
      <c r="AQ59" s="352"/>
      <c r="AR59" s="352"/>
      <c r="AS59" s="467">
        <f>(AB59+AE59)*22.5%</f>
        <v>0.5265</v>
      </c>
      <c r="AT59" s="350">
        <f>AA59*1490000*4</f>
        <v>17084340</v>
      </c>
      <c r="AU59" s="13"/>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row>
    <row r="60" spans="1:75" ht="15.75">
      <c r="A60" s="316">
        <v>2</v>
      </c>
      <c r="B60" s="351" t="s">
        <v>150</v>
      </c>
      <c r="C60" s="446"/>
      <c r="D60" s="446"/>
      <c r="E60" s="319">
        <f>F60+G60+X60</f>
        <v>5.97325</v>
      </c>
      <c r="F60" s="305">
        <v>2.67</v>
      </c>
      <c r="G60" s="304">
        <f>SUM(H60:W60)</f>
        <v>2.7025</v>
      </c>
      <c r="H60" s="304">
        <v>0.7</v>
      </c>
      <c r="I60" s="304"/>
      <c r="J60" s="304"/>
      <c r="K60" s="304">
        <f>(F60+I60)*50%</f>
        <v>1.335</v>
      </c>
      <c r="L60" s="304"/>
      <c r="M60" s="304"/>
      <c r="N60" s="304"/>
      <c r="O60" s="319">
        <f>(F60+I60)*25%</f>
        <v>0.6675</v>
      </c>
      <c r="P60" s="304"/>
      <c r="Q60" s="304"/>
      <c r="R60" s="304"/>
      <c r="S60" s="305"/>
      <c r="T60" s="304"/>
      <c r="U60" s="304"/>
      <c r="V60" s="304"/>
      <c r="W60" s="319"/>
      <c r="X60" s="304">
        <f>(F60+I60)*0.225</f>
        <v>0.60075</v>
      </c>
      <c r="Y60" s="307">
        <f>E60*1490000*12</f>
        <v>106801710</v>
      </c>
      <c r="Z60" s="348"/>
      <c r="AA60" s="346">
        <f t="shared" si="53"/>
        <v>6.625</v>
      </c>
      <c r="AB60" s="348">
        <v>3</v>
      </c>
      <c r="AC60" s="348">
        <f t="shared" si="54"/>
        <v>2.95</v>
      </c>
      <c r="AD60" s="346">
        <v>0.7</v>
      </c>
      <c r="AE60" s="348"/>
      <c r="AF60" s="348"/>
      <c r="AG60" s="346">
        <f>(AB60+AE60)*50%</f>
        <v>1.5</v>
      </c>
      <c r="AH60" s="348"/>
      <c r="AI60" s="348"/>
      <c r="AJ60" s="348"/>
      <c r="AK60" s="346">
        <f>(AB60+AE60)*25%</f>
        <v>0.75</v>
      </c>
      <c r="AL60" s="348"/>
      <c r="AM60" s="348"/>
      <c r="AN60" s="348"/>
      <c r="AO60" s="348"/>
      <c r="AP60" s="348"/>
      <c r="AQ60" s="348"/>
      <c r="AR60" s="348"/>
      <c r="AS60" s="467">
        <f t="shared" si="55"/>
        <v>0.675</v>
      </c>
      <c r="AT60" s="350">
        <f>AA60*1490000*12</f>
        <v>118455000</v>
      </c>
      <c r="AU60" s="13"/>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row>
    <row r="61" spans="1:75" ht="15.75">
      <c r="A61" s="316">
        <v>3</v>
      </c>
      <c r="B61" s="351" t="s">
        <v>149</v>
      </c>
      <c r="C61" s="446"/>
      <c r="D61" s="446"/>
      <c r="E61" s="319">
        <f>F61+G61+X61</f>
        <v>8.599499999999999</v>
      </c>
      <c r="F61" s="305">
        <f>3*2.34</f>
        <v>7.02</v>
      </c>
      <c r="G61" s="304">
        <f>SUM(H61:W61)</f>
        <v>0</v>
      </c>
      <c r="H61" s="304"/>
      <c r="I61" s="304"/>
      <c r="J61" s="304"/>
      <c r="K61" s="304"/>
      <c r="L61" s="304"/>
      <c r="M61" s="304"/>
      <c r="N61" s="304"/>
      <c r="O61" s="319"/>
      <c r="P61" s="304"/>
      <c r="Q61" s="304"/>
      <c r="R61" s="304"/>
      <c r="S61" s="305"/>
      <c r="T61" s="304"/>
      <c r="U61" s="304"/>
      <c r="V61" s="304"/>
      <c r="W61" s="319"/>
      <c r="X61" s="304">
        <f>(F61+I61)*0.225</f>
        <v>1.5795</v>
      </c>
      <c r="Y61" s="307">
        <f>E61*1490000*12</f>
        <v>153759059.99999997</v>
      </c>
      <c r="Z61" s="348"/>
      <c r="AA61" s="346">
        <f t="shared" si="53"/>
        <v>8.580250000000001</v>
      </c>
      <c r="AB61" s="348">
        <v>3.99</v>
      </c>
      <c r="AC61" s="348">
        <f t="shared" si="54"/>
        <v>3.6925000000000003</v>
      </c>
      <c r="AD61" s="346">
        <v>0.7</v>
      </c>
      <c r="AE61" s="348"/>
      <c r="AF61" s="348"/>
      <c r="AG61" s="346">
        <f>(AB61+AE61)*50%</f>
        <v>1.995</v>
      </c>
      <c r="AH61" s="348"/>
      <c r="AI61" s="348"/>
      <c r="AJ61" s="348"/>
      <c r="AK61" s="346">
        <f>(AB61+AE61)*25%</f>
        <v>0.9975</v>
      </c>
      <c r="AL61" s="348"/>
      <c r="AM61" s="348"/>
      <c r="AN61" s="348"/>
      <c r="AO61" s="348"/>
      <c r="AP61" s="348"/>
      <c r="AQ61" s="348"/>
      <c r="AR61" s="348"/>
      <c r="AS61" s="467">
        <f t="shared" si="55"/>
        <v>0.89775</v>
      </c>
      <c r="AT61" s="350">
        <f>AA61*1490000*12</f>
        <v>153414870.00000003</v>
      </c>
      <c r="AU61" s="13"/>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row>
    <row r="62" spans="1:75" ht="15.75">
      <c r="A62" s="316">
        <v>4</v>
      </c>
      <c r="B62" s="351" t="s">
        <v>148</v>
      </c>
      <c r="C62" s="446"/>
      <c r="D62" s="446"/>
      <c r="E62" s="319">
        <f>F62+G62+X62</f>
        <v>5.3215</v>
      </c>
      <c r="F62" s="305">
        <v>2.34</v>
      </c>
      <c r="G62" s="304">
        <f>SUM(H62:W62)</f>
        <v>2.455</v>
      </c>
      <c r="H62" s="304">
        <v>0.7</v>
      </c>
      <c r="I62" s="304"/>
      <c r="J62" s="304"/>
      <c r="K62" s="304">
        <f>(F62+I62)*50%</f>
        <v>1.17</v>
      </c>
      <c r="L62" s="304"/>
      <c r="M62" s="304"/>
      <c r="N62" s="304"/>
      <c r="O62" s="319">
        <f>(F62+I62)*25%</f>
        <v>0.585</v>
      </c>
      <c r="P62" s="304"/>
      <c r="Q62" s="304"/>
      <c r="R62" s="304"/>
      <c r="S62" s="305"/>
      <c r="T62" s="304"/>
      <c r="U62" s="304"/>
      <c r="V62" s="304"/>
      <c r="W62" s="319"/>
      <c r="X62" s="304">
        <f>(F62+I62)*0.225</f>
        <v>0.5265</v>
      </c>
      <c r="Y62" s="307">
        <f>E62*1490000*12</f>
        <v>95148420.00000001</v>
      </c>
      <c r="Z62" s="348"/>
      <c r="AA62" s="346">
        <f t="shared" si="53"/>
        <v>2.8665</v>
      </c>
      <c r="AB62" s="348">
        <f>2.34</f>
        <v>2.34</v>
      </c>
      <c r="AC62" s="348">
        <f t="shared" si="54"/>
        <v>0</v>
      </c>
      <c r="AD62" s="346"/>
      <c r="AE62" s="348"/>
      <c r="AF62" s="348"/>
      <c r="AG62" s="346"/>
      <c r="AH62" s="348"/>
      <c r="AI62" s="348"/>
      <c r="AJ62" s="348"/>
      <c r="AK62" s="348"/>
      <c r="AL62" s="348"/>
      <c r="AM62" s="348"/>
      <c r="AN62" s="348"/>
      <c r="AO62" s="348"/>
      <c r="AP62" s="348"/>
      <c r="AQ62" s="348"/>
      <c r="AR62" s="348"/>
      <c r="AS62" s="467">
        <f>(AB62+AE62)*22.5%</f>
        <v>0.5265</v>
      </c>
      <c r="AT62" s="350">
        <f>AA62*1490000*12</f>
        <v>51253020</v>
      </c>
      <c r="AU62" s="13"/>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row>
    <row r="63" spans="1:75" ht="15.75">
      <c r="A63" s="316" t="s">
        <v>147</v>
      </c>
      <c r="B63" s="355" t="s">
        <v>146</v>
      </c>
      <c r="C63" s="445">
        <v>4</v>
      </c>
      <c r="D63" s="445">
        <v>4</v>
      </c>
      <c r="E63" s="356">
        <f aca="true" t="shared" si="57" ref="E63:X63">SUM(E64:E67)</f>
        <v>34.49</v>
      </c>
      <c r="F63" s="356">
        <f t="shared" si="57"/>
        <v>15.3</v>
      </c>
      <c r="G63" s="356">
        <f t="shared" si="57"/>
        <v>15.635000000000002</v>
      </c>
      <c r="H63" s="356">
        <f t="shared" si="57"/>
        <v>2.8</v>
      </c>
      <c r="I63" s="356">
        <f t="shared" si="57"/>
        <v>0.5</v>
      </c>
      <c r="J63" s="356">
        <f t="shared" si="57"/>
        <v>0</v>
      </c>
      <c r="K63" s="356">
        <f t="shared" si="57"/>
        <v>7.9</v>
      </c>
      <c r="L63" s="356">
        <f t="shared" si="57"/>
        <v>0</v>
      </c>
      <c r="M63" s="356">
        <f t="shared" si="57"/>
        <v>0</v>
      </c>
      <c r="N63" s="356">
        <f t="shared" si="57"/>
        <v>0</v>
      </c>
      <c r="O63" s="356">
        <f t="shared" si="57"/>
        <v>3.95</v>
      </c>
      <c r="P63" s="356">
        <f t="shared" si="57"/>
        <v>0</v>
      </c>
      <c r="Q63" s="356">
        <f t="shared" si="57"/>
        <v>0</v>
      </c>
      <c r="R63" s="356">
        <f t="shared" si="57"/>
        <v>0</v>
      </c>
      <c r="S63" s="356">
        <f t="shared" si="57"/>
        <v>0</v>
      </c>
      <c r="T63" s="356">
        <f t="shared" si="57"/>
        <v>0</v>
      </c>
      <c r="U63" s="356">
        <f t="shared" si="57"/>
        <v>0.4850000000000001</v>
      </c>
      <c r="V63" s="356">
        <f t="shared" si="57"/>
        <v>0</v>
      </c>
      <c r="W63" s="356">
        <f t="shared" si="57"/>
        <v>0</v>
      </c>
      <c r="X63" s="356">
        <f t="shared" si="57"/>
        <v>3.555</v>
      </c>
      <c r="Y63" s="300">
        <f>ROUNDUP(SUM(Y64:Y67),-3)</f>
        <v>616682000</v>
      </c>
      <c r="Z63" s="343"/>
      <c r="AA63" s="357">
        <f>SUM(AA64:AA70)</f>
        <v>50.34575</v>
      </c>
      <c r="AB63" s="357">
        <f aca="true" t="shared" si="58" ref="AB63:AS63">SUM(AB64:AB70)</f>
        <v>23.97</v>
      </c>
      <c r="AC63" s="357">
        <f t="shared" si="58"/>
        <v>20.7575</v>
      </c>
      <c r="AD63" s="357">
        <f t="shared" si="58"/>
        <v>3.5</v>
      </c>
      <c r="AE63" s="357">
        <f t="shared" si="58"/>
        <v>1</v>
      </c>
      <c r="AF63" s="357">
        <f t="shared" si="58"/>
        <v>0</v>
      </c>
      <c r="AG63" s="357">
        <f t="shared" si="58"/>
        <v>10.145</v>
      </c>
      <c r="AH63" s="357">
        <f t="shared" si="58"/>
        <v>0</v>
      </c>
      <c r="AI63" s="357">
        <f t="shared" si="58"/>
        <v>0</v>
      </c>
      <c r="AJ63" s="357">
        <f t="shared" si="58"/>
        <v>0</v>
      </c>
      <c r="AK63" s="357">
        <f t="shared" si="58"/>
        <v>5.0725</v>
      </c>
      <c r="AL63" s="357">
        <f t="shared" si="58"/>
        <v>0</v>
      </c>
      <c r="AM63" s="357">
        <f t="shared" si="58"/>
        <v>0</v>
      </c>
      <c r="AN63" s="357">
        <f t="shared" si="58"/>
        <v>0.6</v>
      </c>
      <c r="AO63" s="357">
        <f t="shared" si="58"/>
        <v>0</v>
      </c>
      <c r="AP63" s="357">
        <f t="shared" si="58"/>
        <v>0</v>
      </c>
      <c r="AQ63" s="357">
        <f t="shared" si="58"/>
        <v>0</v>
      </c>
      <c r="AR63" s="357">
        <f t="shared" si="58"/>
        <v>0.44</v>
      </c>
      <c r="AS63" s="468">
        <f t="shared" si="58"/>
        <v>5.61825</v>
      </c>
      <c r="AT63" s="488">
        <f>SUM(AT64:AT70)</f>
        <v>725827425</v>
      </c>
      <c r="AU63" s="23"/>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row>
    <row r="64" spans="1:75" ht="15.75">
      <c r="A64" s="302">
        <v>1</v>
      </c>
      <c r="B64" s="351" t="s">
        <v>69</v>
      </c>
      <c r="C64" s="446"/>
      <c r="D64" s="446"/>
      <c r="E64" s="319">
        <f>F64+G64+X64</f>
        <v>8.521</v>
      </c>
      <c r="F64" s="305">
        <v>3.66</v>
      </c>
      <c r="G64" s="304">
        <f>H64+I64+J64+K64+L64+M64+N64+O64+P64+Q64+R64+S64+T64+U64+W64</f>
        <v>3.9699999999999998</v>
      </c>
      <c r="H64" s="304">
        <v>0.7</v>
      </c>
      <c r="I64" s="304">
        <v>0.3</v>
      </c>
      <c r="J64" s="304"/>
      <c r="K64" s="304">
        <f>(F64+I64+J64+M64)*0.5</f>
        <v>1.98</v>
      </c>
      <c r="L64" s="304"/>
      <c r="M64" s="304"/>
      <c r="N64" s="304"/>
      <c r="O64" s="319">
        <f>(F64+I64)*0.25</f>
        <v>0.99</v>
      </c>
      <c r="P64" s="304"/>
      <c r="Q64" s="304"/>
      <c r="R64" s="304"/>
      <c r="S64" s="305"/>
      <c r="T64" s="304"/>
      <c r="U64" s="319"/>
      <c r="V64" s="319"/>
      <c r="W64" s="319"/>
      <c r="X64" s="304">
        <f>(F64+I64)*0.225</f>
        <v>0.891</v>
      </c>
      <c r="Y64" s="307">
        <f>E64*1490000*12</f>
        <v>152355480.00000003</v>
      </c>
      <c r="Z64" s="343"/>
      <c r="AA64" s="358">
        <f aca="true" t="shared" si="59" ref="AA64:AA70">AB64+AC64+AS64</f>
        <v>9.692749999999998</v>
      </c>
      <c r="AB64" s="359">
        <v>3.99</v>
      </c>
      <c r="AC64" s="358">
        <f aca="true" t="shared" si="60" ref="AC64:AC70">SUM(AD64:AR64)</f>
        <v>4.7375</v>
      </c>
      <c r="AD64" s="359">
        <v>0.7</v>
      </c>
      <c r="AE64" s="359">
        <v>0.3</v>
      </c>
      <c r="AF64" s="359"/>
      <c r="AG64" s="358">
        <f>(AB64+AE64)*50%</f>
        <v>2.145</v>
      </c>
      <c r="AH64" s="359"/>
      <c r="AI64" s="359"/>
      <c r="AJ64" s="359"/>
      <c r="AK64" s="358">
        <f>(AB64+AE64)*25%</f>
        <v>1.0725</v>
      </c>
      <c r="AL64" s="359"/>
      <c r="AM64" s="359"/>
      <c r="AN64" s="359">
        <v>0.3</v>
      </c>
      <c r="AO64" s="359"/>
      <c r="AP64" s="359"/>
      <c r="AQ64" s="359"/>
      <c r="AR64" s="359">
        <v>0.22</v>
      </c>
      <c r="AS64" s="469">
        <f aca="true" t="shared" si="61" ref="AS64:AS70">(AB64+AE64)*22.5%</f>
        <v>0.96525</v>
      </c>
      <c r="AT64" s="489">
        <f>AA64*1490000*2</f>
        <v>28884394.999999996</v>
      </c>
      <c r="AU64" s="13"/>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row>
    <row r="65" spans="1:75" ht="15.75">
      <c r="A65" s="302">
        <v>2</v>
      </c>
      <c r="B65" s="351" t="s">
        <v>145</v>
      </c>
      <c r="C65" s="446"/>
      <c r="D65" s="446"/>
      <c r="E65" s="319">
        <f>F65+G65+X65</f>
        <v>10.763750000000002</v>
      </c>
      <c r="F65" s="305">
        <v>4.65</v>
      </c>
      <c r="G65" s="304">
        <f>H65+I65+J65+K65+L65+M65+N65+O65+P65+Q65+R65+S65+T65+U65+W65</f>
        <v>5.022500000000001</v>
      </c>
      <c r="H65" s="304">
        <v>0.7</v>
      </c>
      <c r="I65" s="304">
        <v>0.2</v>
      </c>
      <c r="J65" s="304"/>
      <c r="K65" s="304">
        <f>(F65+I65+J65+M65)*0.5</f>
        <v>2.4250000000000003</v>
      </c>
      <c r="L65" s="304"/>
      <c r="M65" s="304"/>
      <c r="N65" s="304"/>
      <c r="O65" s="319">
        <f>(F65+I65)*0.25</f>
        <v>1.2125000000000001</v>
      </c>
      <c r="P65" s="304"/>
      <c r="Q65" s="304"/>
      <c r="R65" s="304"/>
      <c r="S65" s="305"/>
      <c r="T65" s="304"/>
      <c r="U65" s="319">
        <f>(F65+I65)*0.1</f>
        <v>0.4850000000000001</v>
      </c>
      <c r="V65" s="319"/>
      <c r="W65" s="319"/>
      <c r="X65" s="304">
        <f>(F65+I65)*0.225</f>
        <v>1.09125</v>
      </c>
      <c r="Y65" s="307">
        <f>E65*1490000*12</f>
        <v>192455850.00000003</v>
      </c>
      <c r="Z65" s="360"/>
      <c r="AA65" s="358">
        <f t="shared" si="59"/>
        <v>10.0445</v>
      </c>
      <c r="AB65" s="358">
        <v>4.32</v>
      </c>
      <c r="AC65" s="358">
        <f t="shared" si="60"/>
        <v>4.685</v>
      </c>
      <c r="AD65" s="358">
        <v>0.7</v>
      </c>
      <c r="AE65" s="358">
        <v>0.3</v>
      </c>
      <c r="AF65" s="358"/>
      <c r="AG65" s="358">
        <f>(AB65+AE65)*50%</f>
        <v>2.31</v>
      </c>
      <c r="AH65" s="358"/>
      <c r="AI65" s="358"/>
      <c r="AJ65" s="358"/>
      <c r="AK65" s="358">
        <f>(AB65+AE65)*25%</f>
        <v>1.155</v>
      </c>
      <c r="AL65" s="358"/>
      <c r="AM65" s="358"/>
      <c r="AN65" s="358"/>
      <c r="AO65" s="358"/>
      <c r="AP65" s="358"/>
      <c r="AQ65" s="358"/>
      <c r="AR65" s="358">
        <v>0.22</v>
      </c>
      <c r="AS65" s="469">
        <f t="shared" si="61"/>
        <v>1.0395</v>
      </c>
      <c r="AT65" s="489">
        <f>AA65*1490000*10</f>
        <v>149663049.99999997</v>
      </c>
      <c r="AU65" s="13"/>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row>
    <row r="66" spans="1:75" ht="15.75">
      <c r="A66" s="316">
        <v>3</v>
      </c>
      <c r="B66" s="351" t="s">
        <v>144</v>
      </c>
      <c r="C66" s="446"/>
      <c r="D66" s="446"/>
      <c r="E66" s="319">
        <f>F66+G66+X66</f>
        <v>9.232000000000001</v>
      </c>
      <c r="F66" s="305">
        <v>4.32</v>
      </c>
      <c r="G66" s="304">
        <f>SUM(H66:W66)</f>
        <v>3.9400000000000004</v>
      </c>
      <c r="H66" s="304">
        <v>0.7</v>
      </c>
      <c r="I66" s="304"/>
      <c r="J66" s="304"/>
      <c r="K66" s="304">
        <f>(F66+I66)*50%</f>
        <v>2.16</v>
      </c>
      <c r="L66" s="304"/>
      <c r="M66" s="304"/>
      <c r="N66" s="304"/>
      <c r="O66" s="319">
        <f>(F66+I66)*25%</f>
        <v>1.08</v>
      </c>
      <c r="P66" s="304"/>
      <c r="Q66" s="304"/>
      <c r="R66" s="304"/>
      <c r="S66" s="305"/>
      <c r="T66" s="304"/>
      <c r="U66" s="304"/>
      <c r="V66" s="304"/>
      <c r="W66" s="319"/>
      <c r="X66" s="304">
        <f>(F66+I66)*0.225</f>
        <v>0.9720000000000001</v>
      </c>
      <c r="Y66" s="307">
        <f>E66*1490000*12</f>
        <v>165068160.00000003</v>
      </c>
      <c r="Z66" s="360"/>
      <c r="AA66" s="358">
        <f t="shared" si="59"/>
        <v>9.927</v>
      </c>
      <c r="AB66" s="358">
        <v>4.32</v>
      </c>
      <c r="AC66" s="358">
        <f t="shared" si="60"/>
        <v>4.59</v>
      </c>
      <c r="AD66" s="358">
        <v>0.7</v>
      </c>
      <c r="AE66" s="358">
        <v>0.2</v>
      </c>
      <c r="AF66" s="358"/>
      <c r="AG66" s="358">
        <f>(AB66+AE66)*50%</f>
        <v>2.2600000000000002</v>
      </c>
      <c r="AH66" s="358"/>
      <c r="AI66" s="358"/>
      <c r="AJ66" s="358"/>
      <c r="AK66" s="358">
        <f>(AB66+AE66)*25%</f>
        <v>1.1300000000000001</v>
      </c>
      <c r="AL66" s="358"/>
      <c r="AM66" s="358"/>
      <c r="AN66" s="358">
        <v>0.3</v>
      </c>
      <c r="AO66" s="358"/>
      <c r="AP66" s="358"/>
      <c r="AQ66" s="358"/>
      <c r="AR66" s="358"/>
      <c r="AS66" s="469">
        <f t="shared" si="61"/>
        <v>1.0170000000000001</v>
      </c>
      <c r="AT66" s="489">
        <f>AA66*1490000*12</f>
        <v>177494760</v>
      </c>
      <c r="AU66" s="13"/>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row>
    <row r="67" spans="1:75" ht="15.75">
      <c r="A67" s="302">
        <v>4</v>
      </c>
      <c r="B67" s="351" t="s">
        <v>143</v>
      </c>
      <c r="C67" s="446"/>
      <c r="D67" s="446"/>
      <c r="E67" s="319">
        <f>F67+G67+X67</f>
        <v>5.97325</v>
      </c>
      <c r="F67" s="305">
        <v>2.67</v>
      </c>
      <c r="G67" s="304">
        <f>H67+I67+J67+K67+L67+M67+N67+O67+P67+Q67+R67+S67+T67+U67+W67</f>
        <v>2.7025</v>
      </c>
      <c r="H67" s="304">
        <v>0.7</v>
      </c>
      <c r="I67" s="304"/>
      <c r="J67" s="304"/>
      <c r="K67" s="304">
        <f>(F67+I67+J67+M67)*0.5</f>
        <v>1.335</v>
      </c>
      <c r="L67" s="304"/>
      <c r="M67" s="304"/>
      <c r="N67" s="304"/>
      <c r="O67" s="319">
        <f>(F67+I67)*0.25</f>
        <v>0.6675</v>
      </c>
      <c r="P67" s="304"/>
      <c r="Q67" s="304"/>
      <c r="R67" s="304"/>
      <c r="S67" s="305"/>
      <c r="T67" s="304"/>
      <c r="U67" s="304"/>
      <c r="V67" s="304"/>
      <c r="W67" s="319"/>
      <c r="X67" s="304">
        <f>(F67+I67)*0.225</f>
        <v>0.60075</v>
      </c>
      <c r="Y67" s="307">
        <f>E67*1490000*12</f>
        <v>106801710</v>
      </c>
      <c r="Z67" s="360"/>
      <c r="AA67" s="358">
        <f t="shared" si="59"/>
        <v>8.97525</v>
      </c>
      <c r="AB67" s="358">
        <v>3.99</v>
      </c>
      <c r="AC67" s="358">
        <f t="shared" si="60"/>
        <v>4.0425</v>
      </c>
      <c r="AD67" s="358">
        <v>0.7</v>
      </c>
      <c r="AE67" s="358">
        <v>0.2</v>
      </c>
      <c r="AF67" s="358"/>
      <c r="AG67" s="358">
        <f>(AB67+AE67)*50%</f>
        <v>2.095</v>
      </c>
      <c r="AH67" s="358"/>
      <c r="AI67" s="358"/>
      <c r="AJ67" s="358"/>
      <c r="AK67" s="358">
        <f>(AB67+AE67)*25%</f>
        <v>1.0475</v>
      </c>
      <c r="AL67" s="358"/>
      <c r="AM67" s="358"/>
      <c r="AN67" s="358"/>
      <c r="AO67" s="358"/>
      <c r="AP67" s="358"/>
      <c r="AQ67" s="358"/>
      <c r="AR67" s="358"/>
      <c r="AS67" s="469">
        <f t="shared" si="61"/>
        <v>0.9427500000000001</v>
      </c>
      <c r="AT67" s="489">
        <f>AA67*1490000*12</f>
        <v>160477470.00000003</v>
      </c>
      <c r="AU67" s="13"/>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row>
    <row r="68" spans="1:75" ht="15.75">
      <c r="A68" s="316" t="s">
        <v>142</v>
      </c>
      <c r="B68" s="355" t="s">
        <v>141</v>
      </c>
      <c r="C68" s="445">
        <v>3</v>
      </c>
      <c r="D68" s="445">
        <v>2</v>
      </c>
      <c r="E68" s="356">
        <f aca="true" t="shared" si="62" ref="E68:U68">E69</f>
        <v>0</v>
      </c>
      <c r="F68" s="356">
        <f t="shared" si="62"/>
        <v>0</v>
      </c>
      <c r="G68" s="356">
        <f t="shared" si="62"/>
        <v>0</v>
      </c>
      <c r="H68" s="356">
        <f t="shared" si="62"/>
        <v>0</v>
      </c>
      <c r="I68" s="356">
        <f t="shared" si="62"/>
        <v>0</v>
      </c>
      <c r="J68" s="356">
        <f t="shared" si="62"/>
        <v>0</v>
      </c>
      <c r="K68" s="356">
        <f t="shared" si="62"/>
        <v>0</v>
      </c>
      <c r="L68" s="356">
        <f t="shared" si="62"/>
        <v>0</v>
      </c>
      <c r="M68" s="356">
        <f t="shared" si="62"/>
        <v>0</v>
      </c>
      <c r="N68" s="356">
        <f t="shared" si="62"/>
        <v>0</v>
      </c>
      <c r="O68" s="356">
        <f t="shared" si="62"/>
        <v>0</v>
      </c>
      <c r="P68" s="356">
        <f t="shared" si="62"/>
        <v>0</v>
      </c>
      <c r="Q68" s="356">
        <f t="shared" si="62"/>
        <v>0</v>
      </c>
      <c r="R68" s="356">
        <f t="shared" si="62"/>
        <v>0</v>
      </c>
      <c r="S68" s="356">
        <f t="shared" si="62"/>
        <v>0</v>
      </c>
      <c r="T68" s="356">
        <f t="shared" si="62"/>
        <v>0</v>
      </c>
      <c r="U68" s="356">
        <f t="shared" si="62"/>
        <v>0</v>
      </c>
      <c r="V68" s="356"/>
      <c r="W68" s="356">
        <f>W69</f>
        <v>0</v>
      </c>
      <c r="X68" s="356">
        <f>X69</f>
        <v>0</v>
      </c>
      <c r="Y68" s="300">
        <f>Y69</f>
        <v>0</v>
      </c>
      <c r="Z68" s="361"/>
      <c r="AA68" s="358">
        <f t="shared" si="59"/>
        <v>5.97325</v>
      </c>
      <c r="AB68" s="362">
        <v>2.67</v>
      </c>
      <c r="AC68" s="362">
        <f t="shared" si="60"/>
        <v>2.7025</v>
      </c>
      <c r="AD68" s="362">
        <v>0.7</v>
      </c>
      <c r="AE68" s="362"/>
      <c r="AF68" s="362"/>
      <c r="AG68" s="362">
        <f>(AB68+AE68)*50%</f>
        <v>1.335</v>
      </c>
      <c r="AH68" s="362"/>
      <c r="AI68" s="362"/>
      <c r="AJ68" s="362"/>
      <c r="AK68" s="362">
        <f>(AB68+AE68)*25%</f>
        <v>0.6675</v>
      </c>
      <c r="AL68" s="362"/>
      <c r="AM68" s="362"/>
      <c r="AN68" s="362"/>
      <c r="AO68" s="362"/>
      <c r="AP68" s="362"/>
      <c r="AQ68" s="362"/>
      <c r="AR68" s="362"/>
      <c r="AS68" s="470">
        <f t="shared" si="61"/>
        <v>0.60075</v>
      </c>
      <c r="AT68" s="489">
        <f>AA68*1490000*12</f>
        <v>106801710</v>
      </c>
      <c r="AU68" s="23"/>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row>
    <row r="69" spans="1:75" ht="15.75">
      <c r="A69" s="316"/>
      <c r="B69" s="355"/>
      <c r="C69" s="445"/>
      <c r="D69" s="445"/>
      <c r="E69" s="356"/>
      <c r="F69" s="363"/>
      <c r="G69" s="356"/>
      <c r="H69" s="356"/>
      <c r="I69" s="356"/>
      <c r="J69" s="356"/>
      <c r="K69" s="356"/>
      <c r="L69" s="356"/>
      <c r="M69" s="356"/>
      <c r="N69" s="356"/>
      <c r="O69" s="356"/>
      <c r="P69" s="356"/>
      <c r="Q69" s="356"/>
      <c r="R69" s="356"/>
      <c r="S69" s="306"/>
      <c r="T69" s="356"/>
      <c r="U69" s="356"/>
      <c r="V69" s="356"/>
      <c r="W69" s="356"/>
      <c r="X69" s="356"/>
      <c r="Y69" s="300"/>
      <c r="Z69" s="364"/>
      <c r="AA69" s="358">
        <f t="shared" si="59"/>
        <v>2.8665</v>
      </c>
      <c r="AB69" s="365">
        <v>2.34</v>
      </c>
      <c r="AC69" s="362">
        <f t="shared" si="60"/>
        <v>0</v>
      </c>
      <c r="AD69" s="365"/>
      <c r="AE69" s="365"/>
      <c r="AF69" s="365"/>
      <c r="AG69" s="365"/>
      <c r="AH69" s="365"/>
      <c r="AI69" s="365"/>
      <c r="AJ69" s="365"/>
      <c r="AK69" s="365"/>
      <c r="AL69" s="365"/>
      <c r="AM69" s="365"/>
      <c r="AN69" s="365"/>
      <c r="AO69" s="365"/>
      <c r="AP69" s="365"/>
      <c r="AQ69" s="365"/>
      <c r="AR69" s="365"/>
      <c r="AS69" s="471">
        <f t="shared" si="61"/>
        <v>0.5265</v>
      </c>
      <c r="AT69" s="489">
        <f>AA69*1490000*12</f>
        <v>51253020</v>
      </c>
      <c r="AU69" s="23"/>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row>
    <row r="70" spans="1:75" ht="15.75">
      <c r="A70" s="302"/>
      <c r="B70" s="351"/>
      <c r="C70" s="446"/>
      <c r="D70" s="446"/>
      <c r="E70" s="304"/>
      <c r="F70" s="305"/>
      <c r="G70" s="304"/>
      <c r="H70" s="304"/>
      <c r="I70" s="304"/>
      <c r="J70" s="304"/>
      <c r="K70" s="304"/>
      <c r="L70" s="304"/>
      <c r="M70" s="304"/>
      <c r="N70" s="304"/>
      <c r="O70" s="319"/>
      <c r="P70" s="304"/>
      <c r="Q70" s="304"/>
      <c r="R70" s="304"/>
      <c r="S70" s="305"/>
      <c r="T70" s="304"/>
      <c r="U70" s="304"/>
      <c r="V70" s="304"/>
      <c r="W70" s="319"/>
      <c r="X70" s="304"/>
      <c r="Y70" s="307"/>
      <c r="Z70" s="364"/>
      <c r="AA70" s="358">
        <f t="shared" si="59"/>
        <v>2.8665</v>
      </c>
      <c r="AB70" s="365">
        <v>2.34</v>
      </c>
      <c r="AC70" s="362">
        <f t="shared" si="60"/>
        <v>0</v>
      </c>
      <c r="AD70" s="365"/>
      <c r="AE70" s="365"/>
      <c r="AF70" s="365"/>
      <c r="AG70" s="365"/>
      <c r="AH70" s="365"/>
      <c r="AI70" s="365"/>
      <c r="AJ70" s="365"/>
      <c r="AK70" s="365"/>
      <c r="AL70" s="365"/>
      <c r="AM70" s="365"/>
      <c r="AN70" s="365"/>
      <c r="AO70" s="365"/>
      <c r="AP70" s="365"/>
      <c r="AQ70" s="365"/>
      <c r="AR70" s="365"/>
      <c r="AS70" s="471">
        <f t="shared" si="61"/>
        <v>0.5265</v>
      </c>
      <c r="AT70" s="489">
        <f>AA70*1490000*12</f>
        <v>51253020</v>
      </c>
      <c r="AU70" s="13"/>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row>
    <row r="71" spans="1:75" ht="15.75">
      <c r="A71" s="316"/>
      <c r="B71" s="351"/>
      <c r="C71" s="446"/>
      <c r="D71" s="446"/>
      <c r="E71" s="319"/>
      <c r="F71" s="305"/>
      <c r="G71" s="304"/>
      <c r="H71" s="304"/>
      <c r="I71" s="304"/>
      <c r="J71" s="304"/>
      <c r="K71" s="304"/>
      <c r="L71" s="304"/>
      <c r="M71" s="304"/>
      <c r="N71" s="304"/>
      <c r="O71" s="319"/>
      <c r="P71" s="304"/>
      <c r="Q71" s="304"/>
      <c r="R71" s="304"/>
      <c r="S71" s="305"/>
      <c r="T71" s="304"/>
      <c r="U71" s="304"/>
      <c r="V71" s="304"/>
      <c r="W71" s="319"/>
      <c r="X71" s="304"/>
      <c r="Y71" s="307"/>
      <c r="Z71" s="343"/>
      <c r="AA71" s="343">
        <f>SUM(AA73:AA77)</f>
        <v>44.96625</v>
      </c>
      <c r="AB71" s="343">
        <f aca="true" t="shared" si="63" ref="AB71:AT71">SUM(AB73:AB77)</f>
        <v>19.950000000000003</v>
      </c>
      <c r="AC71" s="343">
        <f t="shared" si="63"/>
        <v>20.347500000000004</v>
      </c>
      <c r="AD71" s="343">
        <f t="shared" si="63"/>
        <v>3.5</v>
      </c>
      <c r="AE71" s="343">
        <f t="shared" si="63"/>
        <v>0.8</v>
      </c>
      <c r="AF71" s="343">
        <f t="shared" si="63"/>
        <v>0</v>
      </c>
      <c r="AG71" s="343">
        <f t="shared" si="63"/>
        <v>10.375</v>
      </c>
      <c r="AH71" s="343">
        <f t="shared" si="63"/>
        <v>0</v>
      </c>
      <c r="AI71" s="343">
        <f t="shared" si="63"/>
        <v>0</v>
      </c>
      <c r="AJ71" s="343">
        <f t="shared" si="63"/>
        <v>0</v>
      </c>
      <c r="AK71" s="343">
        <f t="shared" si="63"/>
        <v>5.1875</v>
      </c>
      <c r="AL71" s="343">
        <f t="shared" si="63"/>
        <v>0</v>
      </c>
      <c r="AM71" s="343">
        <f t="shared" si="63"/>
        <v>0</v>
      </c>
      <c r="AN71" s="343">
        <f t="shared" si="63"/>
        <v>0</v>
      </c>
      <c r="AO71" s="343">
        <f t="shared" si="63"/>
        <v>0</v>
      </c>
      <c r="AP71" s="343">
        <f t="shared" si="63"/>
        <v>0</v>
      </c>
      <c r="AQ71" s="343">
        <f t="shared" si="63"/>
        <v>0.4850000000000001</v>
      </c>
      <c r="AR71" s="343">
        <f t="shared" si="63"/>
        <v>0</v>
      </c>
      <c r="AS71" s="466">
        <f t="shared" si="63"/>
        <v>4.66875</v>
      </c>
      <c r="AT71" s="487">
        <f t="shared" si="63"/>
        <v>630204812.5</v>
      </c>
      <c r="AU71" s="13"/>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row>
    <row r="72" spans="1:75" ht="15.75">
      <c r="A72" s="302"/>
      <c r="B72" s="351"/>
      <c r="C72" s="446"/>
      <c r="D72" s="446"/>
      <c r="E72" s="304"/>
      <c r="F72" s="305"/>
      <c r="G72" s="304"/>
      <c r="H72" s="304"/>
      <c r="I72" s="304"/>
      <c r="J72" s="304"/>
      <c r="K72" s="304"/>
      <c r="L72" s="304"/>
      <c r="M72" s="304"/>
      <c r="N72" s="304"/>
      <c r="O72" s="319"/>
      <c r="P72" s="304"/>
      <c r="Q72" s="304"/>
      <c r="R72" s="304"/>
      <c r="S72" s="305"/>
      <c r="T72" s="304"/>
      <c r="U72" s="304"/>
      <c r="V72" s="304"/>
      <c r="W72" s="319"/>
      <c r="X72" s="304"/>
      <c r="Y72" s="307"/>
      <c r="Z72" s="343">
        <v>6</v>
      </c>
      <c r="AA72" s="343">
        <f>SUM(AA73:AA77)</f>
        <v>44.96625</v>
      </c>
      <c r="AB72" s="343">
        <f aca="true" t="shared" si="64" ref="AB72:AS72">SUM(AB73:AB77)</f>
        <v>19.950000000000003</v>
      </c>
      <c r="AC72" s="343">
        <f t="shared" si="64"/>
        <v>20.347500000000004</v>
      </c>
      <c r="AD72" s="343">
        <f t="shared" si="64"/>
        <v>3.5</v>
      </c>
      <c r="AE72" s="343">
        <f t="shared" si="64"/>
        <v>0.8</v>
      </c>
      <c r="AF72" s="343">
        <f t="shared" si="64"/>
        <v>0</v>
      </c>
      <c r="AG72" s="343">
        <f t="shared" si="64"/>
        <v>10.375</v>
      </c>
      <c r="AH72" s="343">
        <f t="shared" si="64"/>
        <v>0</v>
      </c>
      <c r="AI72" s="343">
        <f t="shared" si="64"/>
        <v>0</v>
      </c>
      <c r="AJ72" s="343">
        <f t="shared" si="64"/>
        <v>0</v>
      </c>
      <c r="AK72" s="343">
        <f t="shared" si="64"/>
        <v>5.1875</v>
      </c>
      <c r="AL72" s="343">
        <f t="shared" si="64"/>
        <v>0</v>
      </c>
      <c r="AM72" s="343">
        <f t="shared" si="64"/>
        <v>0</v>
      </c>
      <c r="AN72" s="343">
        <f t="shared" si="64"/>
        <v>0</v>
      </c>
      <c r="AO72" s="343">
        <f t="shared" si="64"/>
        <v>0</v>
      </c>
      <c r="AP72" s="343">
        <f t="shared" si="64"/>
        <v>0</v>
      </c>
      <c r="AQ72" s="343">
        <f t="shared" si="64"/>
        <v>0.4850000000000001</v>
      </c>
      <c r="AR72" s="343">
        <f t="shared" si="64"/>
        <v>0</v>
      </c>
      <c r="AS72" s="466">
        <f t="shared" si="64"/>
        <v>4.66875</v>
      </c>
      <c r="AT72" s="369">
        <f>SUM(AT73:AT77)</f>
        <v>630204812.5</v>
      </c>
      <c r="AU72" s="13"/>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row>
    <row r="73" spans="1:75" ht="15.75">
      <c r="A73" s="316" t="s">
        <v>140</v>
      </c>
      <c r="B73" s="355" t="s">
        <v>139</v>
      </c>
      <c r="C73" s="445">
        <v>5</v>
      </c>
      <c r="D73" s="445">
        <v>5</v>
      </c>
      <c r="E73" s="299">
        <f aca="true" t="shared" si="65" ref="E73:X73">SUM(E74:E78)</f>
        <v>39.859750000000005</v>
      </c>
      <c r="F73" s="299">
        <f t="shared" si="65"/>
        <v>17.71</v>
      </c>
      <c r="G73" s="299">
        <f t="shared" si="65"/>
        <v>18.0075</v>
      </c>
      <c r="H73" s="299">
        <f t="shared" si="65"/>
        <v>3.5</v>
      </c>
      <c r="I73" s="299">
        <f t="shared" si="65"/>
        <v>0.7</v>
      </c>
      <c r="J73" s="299">
        <f t="shared" si="65"/>
        <v>0</v>
      </c>
      <c r="K73" s="299">
        <f t="shared" si="65"/>
        <v>9.205000000000002</v>
      </c>
      <c r="L73" s="299">
        <f t="shared" si="65"/>
        <v>0</v>
      </c>
      <c r="M73" s="299">
        <f t="shared" si="65"/>
        <v>0</v>
      </c>
      <c r="N73" s="299">
        <f t="shared" si="65"/>
        <v>0</v>
      </c>
      <c r="O73" s="299">
        <f t="shared" si="65"/>
        <v>4.602500000000001</v>
      </c>
      <c r="P73" s="299">
        <f t="shared" si="65"/>
        <v>0</v>
      </c>
      <c r="Q73" s="299">
        <f t="shared" si="65"/>
        <v>0</v>
      </c>
      <c r="R73" s="299">
        <f t="shared" si="65"/>
        <v>0</v>
      </c>
      <c r="S73" s="299">
        <f t="shared" si="65"/>
        <v>0</v>
      </c>
      <c r="T73" s="299">
        <f t="shared" si="65"/>
        <v>0</v>
      </c>
      <c r="U73" s="299">
        <f t="shared" si="65"/>
        <v>0</v>
      </c>
      <c r="V73" s="299">
        <f t="shared" si="65"/>
        <v>0</v>
      </c>
      <c r="W73" s="299">
        <f t="shared" si="65"/>
        <v>0</v>
      </c>
      <c r="X73" s="299">
        <f t="shared" si="65"/>
        <v>4.142250000000001</v>
      </c>
      <c r="Y73" s="299">
        <f>ROUNDUP(SUM(Y74:Y78),-3)</f>
        <v>712693000</v>
      </c>
      <c r="Z73" s="348"/>
      <c r="AA73" s="348">
        <f>AB73+AC73+AS73</f>
        <v>8.521</v>
      </c>
      <c r="AB73" s="348">
        <v>3.66</v>
      </c>
      <c r="AC73" s="348">
        <f>SUM(AD73:AR73)</f>
        <v>3.9699999999999998</v>
      </c>
      <c r="AD73" s="348">
        <v>0.7</v>
      </c>
      <c r="AE73" s="348">
        <v>0.3</v>
      </c>
      <c r="AF73" s="348"/>
      <c r="AG73" s="348">
        <f>0.5*(AB73+AE73)</f>
        <v>1.98</v>
      </c>
      <c r="AH73" s="348"/>
      <c r="AI73" s="348"/>
      <c r="AJ73" s="348"/>
      <c r="AK73" s="348">
        <f>0.25*(AB73+AE73)</f>
        <v>0.99</v>
      </c>
      <c r="AL73" s="348"/>
      <c r="AM73" s="348"/>
      <c r="AN73" s="348"/>
      <c r="AO73" s="348"/>
      <c r="AP73" s="348"/>
      <c r="AQ73" s="348"/>
      <c r="AR73" s="348"/>
      <c r="AS73" s="472">
        <f>(AB73+AE73)*22.5%</f>
        <v>0.891</v>
      </c>
      <c r="AT73" s="490">
        <f>AA73*1490000*2</f>
        <v>25392580.000000004</v>
      </c>
      <c r="AU73" s="23"/>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row>
    <row r="74" spans="1:75" ht="15.75">
      <c r="A74" s="302">
        <v>1</v>
      </c>
      <c r="B74" s="303" t="s">
        <v>35</v>
      </c>
      <c r="C74" s="446"/>
      <c r="D74" s="446"/>
      <c r="E74" s="304">
        <f>F74+G74+X74</f>
        <v>8.521</v>
      </c>
      <c r="F74" s="305">
        <v>3.66</v>
      </c>
      <c r="G74" s="304">
        <f>H74+I74+J74+K74+L74+M74+N74+O74+P74+Q74+R74+S74+T74+U74+W74</f>
        <v>3.9699999999999998</v>
      </c>
      <c r="H74" s="304">
        <v>0.7</v>
      </c>
      <c r="I74" s="304">
        <v>0.3</v>
      </c>
      <c r="J74" s="304"/>
      <c r="K74" s="304">
        <f>(F74+I74+J74+M74)*0.5</f>
        <v>1.98</v>
      </c>
      <c r="L74" s="304"/>
      <c r="M74" s="304"/>
      <c r="N74" s="304"/>
      <c r="O74" s="319">
        <f>(F74+I74)*0.25</f>
        <v>0.99</v>
      </c>
      <c r="P74" s="304"/>
      <c r="Q74" s="304"/>
      <c r="R74" s="304"/>
      <c r="S74" s="305"/>
      <c r="T74" s="304"/>
      <c r="U74" s="304"/>
      <c r="V74" s="304"/>
      <c r="W74" s="304"/>
      <c r="X74" s="304">
        <f>(F74+I74)*0.225</f>
        <v>0.891</v>
      </c>
      <c r="Y74" s="307">
        <f>E74*1490000*12</f>
        <v>152355480.00000003</v>
      </c>
      <c r="Z74" s="348"/>
      <c r="AA74" s="348">
        <f>AB74+AC74+AS74</f>
        <v>10.47625</v>
      </c>
      <c r="AB74" s="348">
        <v>4.65</v>
      </c>
      <c r="AC74" s="348">
        <f>SUM(AD74:AR74)</f>
        <v>4.7125</v>
      </c>
      <c r="AD74" s="348">
        <v>0.7</v>
      </c>
      <c r="AE74" s="348">
        <v>0.3</v>
      </c>
      <c r="AF74" s="348"/>
      <c r="AG74" s="348">
        <f>0.5*(AB74+AE74)</f>
        <v>2.475</v>
      </c>
      <c r="AH74" s="348"/>
      <c r="AI74" s="348"/>
      <c r="AJ74" s="348"/>
      <c r="AK74" s="348">
        <f>0.25*(AB74+AE74)</f>
        <v>1.2375</v>
      </c>
      <c r="AL74" s="348"/>
      <c r="AM74" s="348"/>
      <c r="AN74" s="348"/>
      <c r="AO74" s="348"/>
      <c r="AP74" s="348"/>
      <c r="AQ74" s="348"/>
      <c r="AR74" s="348"/>
      <c r="AS74" s="472">
        <f>(AB74+AE74)*22.5%</f>
        <v>1.11375</v>
      </c>
      <c r="AT74" s="490">
        <f>AA74*1490000*9</f>
        <v>140486512.5</v>
      </c>
      <c r="AU74" s="13"/>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row>
    <row r="75" spans="1:75" ht="15.75">
      <c r="A75" s="302">
        <v>2</v>
      </c>
      <c r="B75" s="303" t="s">
        <v>138</v>
      </c>
      <c r="C75" s="446"/>
      <c r="D75" s="446"/>
      <c r="E75" s="304">
        <f>F75+G75+X75</f>
        <v>8.97525</v>
      </c>
      <c r="F75" s="305">
        <v>3.99</v>
      </c>
      <c r="G75" s="304">
        <f>H75+I75+J75+K75+L75+M75+N75+O75+P75+Q75+R75+S75+T75+U75+W75</f>
        <v>4.0425</v>
      </c>
      <c r="H75" s="304">
        <v>0.7</v>
      </c>
      <c r="I75" s="304">
        <v>0.2</v>
      </c>
      <c r="J75" s="304"/>
      <c r="K75" s="304">
        <f>(F75+I75+J75+M75)*0.5</f>
        <v>2.095</v>
      </c>
      <c r="L75" s="304"/>
      <c r="M75" s="304"/>
      <c r="N75" s="304"/>
      <c r="O75" s="319">
        <f>(F75+I75)*0.25</f>
        <v>1.0475</v>
      </c>
      <c r="P75" s="304"/>
      <c r="Q75" s="304"/>
      <c r="R75" s="304"/>
      <c r="S75" s="305"/>
      <c r="T75" s="304"/>
      <c r="U75" s="304"/>
      <c r="V75" s="304"/>
      <c r="W75" s="304"/>
      <c r="X75" s="304">
        <f>(F75+I75)*0.225</f>
        <v>0.9427500000000001</v>
      </c>
      <c r="Y75" s="307">
        <f>E75*1490000*12</f>
        <v>160477470.00000003</v>
      </c>
      <c r="Z75" s="348"/>
      <c r="AA75" s="348">
        <f>AB75+AC75+AS75</f>
        <v>10.763750000000002</v>
      </c>
      <c r="AB75" s="348">
        <v>4.65</v>
      </c>
      <c r="AC75" s="348">
        <f>SUM(AD75:AR75)</f>
        <v>5.022500000000001</v>
      </c>
      <c r="AD75" s="348">
        <v>0.7</v>
      </c>
      <c r="AE75" s="348">
        <v>0.2</v>
      </c>
      <c r="AF75" s="348"/>
      <c r="AG75" s="348">
        <f>0.5*(AB75+AE75)</f>
        <v>2.4250000000000003</v>
      </c>
      <c r="AH75" s="348"/>
      <c r="AI75" s="348"/>
      <c r="AJ75" s="348"/>
      <c r="AK75" s="348">
        <f>0.25*(AB75+AE75)</f>
        <v>1.2125000000000001</v>
      </c>
      <c r="AL75" s="348"/>
      <c r="AM75" s="348"/>
      <c r="AN75" s="348"/>
      <c r="AO75" s="348"/>
      <c r="AP75" s="348"/>
      <c r="AQ75" s="366">
        <f>(AB75+AE75)*10%</f>
        <v>0.4850000000000001</v>
      </c>
      <c r="AR75" s="348"/>
      <c r="AS75" s="472">
        <f>(AB75+AE75)*22.5%</f>
        <v>1.09125</v>
      </c>
      <c r="AT75" s="490">
        <f>AA75*1490000*12</f>
        <v>192455850.00000003</v>
      </c>
      <c r="AU75" s="13"/>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row>
    <row r="76" spans="1:75" ht="15.75">
      <c r="A76" s="302">
        <v>3</v>
      </c>
      <c r="B76" s="303" t="s">
        <v>137</v>
      </c>
      <c r="C76" s="446"/>
      <c r="D76" s="446"/>
      <c r="E76" s="304">
        <f>F76+G76+X76</f>
        <v>9.626999999999999</v>
      </c>
      <c r="F76" s="305">
        <v>4.32</v>
      </c>
      <c r="G76" s="304">
        <f>H76+I76+J76+K76+L76+M76+N76+O76+P76+Q76+R76+S76+T76+U76+W76</f>
        <v>4.29</v>
      </c>
      <c r="H76" s="304">
        <v>0.7</v>
      </c>
      <c r="I76" s="304">
        <v>0.2</v>
      </c>
      <c r="J76" s="304"/>
      <c r="K76" s="304">
        <f>(F76+I76+J76+M76)*0.5</f>
        <v>2.2600000000000002</v>
      </c>
      <c r="L76" s="304"/>
      <c r="M76" s="304"/>
      <c r="N76" s="304"/>
      <c r="O76" s="319">
        <f>(F76+I76)*0.25</f>
        <v>1.1300000000000001</v>
      </c>
      <c r="P76" s="304"/>
      <c r="Q76" s="304"/>
      <c r="R76" s="304"/>
      <c r="S76" s="305"/>
      <c r="T76" s="304"/>
      <c r="U76" s="304"/>
      <c r="V76" s="304"/>
      <c r="W76" s="304"/>
      <c r="X76" s="304">
        <f>(F76+I76)*0.225</f>
        <v>1.0170000000000001</v>
      </c>
      <c r="Y76" s="307">
        <f>E76*1490000*12</f>
        <v>172130759.99999997</v>
      </c>
      <c r="Z76" s="348"/>
      <c r="AA76" s="348">
        <f>AB76+AC76+AS76</f>
        <v>9.232000000000001</v>
      </c>
      <c r="AB76" s="348">
        <v>4.32</v>
      </c>
      <c r="AC76" s="348">
        <f>SUM(AD76:AR76)</f>
        <v>3.9400000000000004</v>
      </c>
      <c r="AD76" s="348">
        <v>0.7</v>
      </c>
      <c r="AE76" s="348"/>
      <c r="AF76" s="348"/>
      <c r="AG76" s="348">
        <f>0.5*(AB76+AE76)</f>
        <v>2.16</v>
      </c>
      <c r="AH76" s="348"/>
      <c r="AI76" s="348"/>
      <c r="AJ76" s="348"/>
      <c r="AK76" s="348">
        <f>0.25*(AB76+AE76)</f>
        <v>1.08</v>
      </c>
      <c r="AL76" s="348"/>
      <c r="AM76" s="348"/>
      <c r="AN76" s="348"/>
      <c r="AO76" s="348"/>
      <c r="AP76" s="348"/>
      <c r="AQ76" s="348"/>
      <c r="AR76" s="348"/>
      <c r="AS76" s="472">
        <f>(AB76+AE76)*22.5%</f>
        <v>0.9720000000000001</v>
      </c>
      <c r="AT76" s="490">
        <f>AA76*1490000*12</f>
        <v>165068160.00000003</v>
      </c>
      <c r="AU76" s="13"/>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row>
    <row r="77" spans="1:75" ht="15.75">
      <c r="A77" s="302">
        <v>4</v>
      </c>
      <c r="B77" s="367" t="s">
        <v>136</v>
      </c>
      <c r="C77" s="446"/>
      <c r="D77" s="446"/>
      <c r="E77" s="304">
        <f>F77+G77+X77</f>
        <v>5.4597500000000005</v>
      </c>
      <c r="F77" s="305">
        <v>2.41</v>
      </c>
      <c r="G77" s="304">
        <f>H77+I77+J77+K77+L77+M77+N77+O77+P77+Q77+R77+S77+T77+U77+W77</f>
        <v>2.5075000000000003</v>
      </c>
      <c r="H77" s="304">
        <v>0.7</v>
      </c>
      <c r="I77" s="304"/>
      <c r="J77" s="304"/>
      <c r="K77" s="304">
        <f>(F77+I77+J77+M77)*0.5</f>
        <v>1.205</v>
      </c>
      <c r="L77" s="304"/>
      <c r="M77" s="304"/>
      <c r="N77" s="304"/>
      <c r="O77" s="319">
        <f>(F77+I77)*0.25</f>
        <v>0.6025</v>
      </c>
      <c r="P77" s="304"/>
      <c r="Q77" s="304"/>
      <c r="R77" s="304"/>
      <c r="S77" s="305"/>
      <c r="T77" s="304"/>
      <c r="U77" s="304"/>
      <c r="V77" s="304"/>
      <c r="W77" s="304"/>
      <c r="X77" s="304">
        <f>(F77+I77)*0.225</f>
        <v>0.54225</v>
      </c>
      <c r="Y77" s="307">
        <f>E77*1490000*12</f>
        <v>97620330.00000001</v>
      </c>
      <c r="Z77" s="348"/>
      <c r="AA77" s="348">
        <f>AB77+AC77+AS77</f>
        <v>5.97325</v>
      </c>
      <c r="AB77" s="348">
        <v>2.67</v>
      </c>
      <c r="AC77" s="348">
        <f>SUM(AD77:AR77)</f>
        <v>2.7025</v>
      </c>
      <c r="AD77" s="348">
        <v>0.7</v>
      </c>
      <c r="AE77" s="348"/>
      <c r="AF77" s="348"/>
      <c r="AG77" s="348">
        <f>0.5*(AB77+AE77)</f>
        <v>1.335</v>
      </c>
      <c r="AH77" s="348"/>
      <c r="AI77" s="348"/>
      <c r="AJ77" s="348"/>
      <c r="AK77" s="348">
        <f>0.25*(AB77+AE77)</f>
        <v>0.6675</v>
      </c>
      <c r="AL77" s="348"/>
      <c r="AM77" s="348"/>
      <c r="AN77" s="348"/>
      <c r="AO77" s="348"/>
      <c r="AP77" s="348"/>
      <c r="AQ77" s="348"/>
      <c r="AR77" s="348"/>
      <c r="AS77" s="472">
        <f>(AB77+AE77)*22.5%</f>
        <v>0.60075</v>
      </c>
      <c r="AT77" s="490">
        <f>AA77*1490000*12</f>
        <v>106801710</v>
      </c>
      <c r="AU77" s="13"/>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row>
    <row r="78" spans="1:75" ht="15.75">
      <c r="A78" s="302">
        <v>5</v>
      </c>
      <c r="B78" s="367" t="s">
        <v>135</v>
      </c>
      <c r="C78" s="446"/>
      <c r="D78" s="446"/>
      <c r="E78" s="304">
        <f>F78+G78+X78</f>
        <v>7.27675</v>
      </c>
      <c r="F78" s="305">
        <v>3.33</v>
      </c>
      <c r="G78" s="304">
        <f>H78+I78+J78+K78+L78+M78+N78+O78+P78+Q78+R78+S78+T78+U78+W78</f>
        <v>3.1975000000000002</v>
      </c>
      <c r="H78" s="304">
        <v>0.7</v>
      </c>
      <c r="I78" s="304"/>
      <c r="J78" s="304"/>
      <c r="K78" s="304">
        <f>(F78+I78+J78+M78)*0.5</f>
        <v>1.665</v>
      </c>
      <c r="L78" s="304"/>
      <c r="M78" s="304"/>
      <c r="N78" s="304"/>
      <c r="O78" s="319">
        <f>(F78+I78)*0.25</f>
        <v>0.8325</v>
      </c>
      <c r="P78" s="304"/>
      <c r="Q78" s="304"/>
      <c r="R78" s="304"/>
      <c r="S78" s="305"/>
      <c r="T78" s="304"/>
      <c r="U78" s="304"/>
      <c r="V78" s="304"/>
      <c r="W78" s="304"/>
      <c r="X78" s="304">
        <f>(F78+I78)*0.225</f>
        <v>0.7492500000000001</v>
      </c>
      <c r="Y78" s="307">
        <f>E78*1490000*12</f>
        <v>130108290</v>
      </c>
      <c r="Z78" s="343"/>
      <c r="AA78" s="343">
        <f>SUM(AA79:AA82)</f>
        <v>23.729</v>
      </c>
      <c r="AB78" s="343">
        <f aca="true" t="shared" si="66" ref="AB78:AS78">SUM(AB79:AB82)</f>
        <v>11.64</v>
      </c>
      <c r="AC78" s="343">
        <f t="shared" si="66"/>
        <v>9.425</v>
      </c>
      <c r="AD78" s="343">
        <f t="shared" si="66"/>
        <v>2.0999999999999996</v>
      </c>
      <c r="AE78" s="343">
        <f t="shared" si="66"/>
        <v>0.2</v>
      </c>
      <c r="AF78" s="343">
        <f t="shared" si="66"/>
        <v>0</v>
      </c>
      <c r="AG78" s="343">
        <f t="shared" si="66"/>
        <v>4.75</v>
      </c>
      <c r="AH78" s="343">
        <f t="shared" si="66"/>
        <v>0</v>
      </c>
      <c r="AI78" s="343">
        <f t="shared" si="66"/>
        <v>0</v>
      </c>
      <c r="AJ78" s="343">
        <f t="shared" si="66"/>
        <v>0</v>
      </c>
      <c r="AK78" s="343">
        <f t="shared" si="66"/>
        <v>2.375</v>
      </c>
      <c r="AL78" s="343">
        <f t="shared" si="66"/>
        <v>0</v>
      </c>
      <c r="AM78" s="343">
        <f t="shared" si="66"/>
        <v>0</v>
      </c>
      <c r="AN78" s="343">
        <f t="shared" si="66"/>
        <v>0</v>
      </c>
      <c r="AO78" s="343">
        <f t="shared" si="66"/>
        <v>0</v>
      </c>
      <c r="AP78" s="343">
        <f t="shared" si="66"/>
        <v>0</v>
      </c>
      <c r="AQ78" s="343">
        <f t="shared" si="66"/>
        <v>0</v>
      </c>
      <c r="AR78" s="343">
        <f t="shared" si="66"/>
        <v>0</v>
      </c>
      <c r="AS78" s="466">
        <f t="shared" si="66"/>
        <v>2.664</v>
      </c>
      <c r="AT78" s="369">
        <f>SUM(AT79:AT82)</f>
        <v>424274520</v>
      </c>
      <c r="AU78" s="13"/>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row>
    <row r="79" spans="1:75" ht="31.5">
      <c r="A79" s="316" t="s">
        <v>134</v>
      </c>
      <c r="B79" s="296" t="s">
        <v>133</v>
      </c>
      <c r="C79" s="445">
        <v>4</v>
      </c>
      <c r="D79" s="445">
        <v>3</v>
      </c>
      <c r="E79" s="299">
        <f aca="true" t="shared" si="67" ref="E79:X79">SUM(E80:E83)</f>
        <v>23.729</v>
      </c>
      <c r="F79" s="299">
        <f t="shared" si="67"/>
        <v>11.64</v>
      </c>
      <c r="G79" s="299">
        <f t="shared" si="67"/>
        <v>9.425</v>
      </c>
      <c r="H79" s="299">
        <f t="shared" si="67"/>
        <v>2.0999999999999996</v>
      </c>
      <c r="I79" s="299">
        <f t="shared" si="67"/>
        <v>0.2</v>
      </c>
      <c r="J79" s="299">
        <f t="shared" si="67"/>
        <v>0</v>
      </c>
      <c r="K79" s="299">
        <f t="shared" si="67"/>
        <v>4.75</v>
      </c>
      <c r="L79" s="299">
        <f t="shared" si="67"/>
        <v>0</v>
      </c>
      <c r="M79" s="299">
        <f t="shared" si="67"/>
        <v>0</v>
      </c>
      <c r="N79" s="299">
        <f t="shared" si="67"/>
        <v>0</v>
      </c>
      <c r="O79" s="299">
        <f t="shared" si="67"/>
        <v>2.375</v>
      </c>
      <c r="P79" s="299">
        <f t="shared" si="67"/>
        <v>0</v>
      </c>
      <c r="Q79" s="299">
        <f t="shared" si="67"/>
        <v>0</v>
      </c>
      <c r="R79" s="299">
        <f t="shared" si="67"/>
        <v>0</v>
      </c>
      <c r="S79" s="299">
        <f t="shared" si="67"/>
        <v>0</v>
      </c>
      <c r="T79" s="299">
        <f t="shared" si="67"/>
        <v>0</v>
      </c>
      <c r="U79" s="299">
        <f t="shared" si="67"/>
        <v>0</v>
      </c>
      <c r="V79" s="299">
        <f t="shared" si="67"/>
        <v>0</v>
      </c>
      <c r="W79" s="299">
        <f t="shared" si="67"/>
        <v>0</v>
      </c>
      <c r="X79" s="299">
        <f t="shared" si="67"/>
        <v>2.664</v>
      </c>
      <c r="Y79" s="299">
        <f>ROUNDUP(SUM(Y80:Y83),0)</f>
        <v>424274520</v>
      </c>
      <c r="Z79" s="348"/>
      <c r="AA79" s="348">
        <f>AB79+AC79+AS79</f>
        <v>8.916</v>
      </c>
      <c r="AB79" s="348">
        <v>3.96</v>
      </c>
      <c r="AC79" s="348">
        <f>SUM(AD79:AR79)</f>
        <v>4.02</v>
      </c>
      <c r="AD79" s="348">
        <v>0.7</v>
      </c>
      <c r="AE79" s="348">
        <v>0.2</v>
      </c>
      <c r="AF79" s="348"/>
      <c r="AG79" s="348">
        <f>0.5*(AB79+AE79)</f>
        <v>2.08</v>
      </c>
      <c r="AH79" s="348"/>
      <c r="AI79" s="348"/>
      <c r="AJ79" s="348"/>
      <c r="AK79" s="348">
        <f>0.25*(AB79+AE79)</f>
        <v>1.04</v>
      </c>
      <c r="AL79" s="348"/>
      <c r="AM79" s="348"/>
      <c r="AN79" s="348"/>
      <c r="AO79" s="348"/>
      <c r="AP79" s="348"/>
      <c r="AQ79" s="348"/>
      <c r="AR79" s="348"/>
      <c r="AS79" s="472">
        <f>(AB79+AE79)*22.5%</f>
        <v>0.936</v>
      </c>
      <c r="AT79" s="491">
        <f>AA79*1490000*12</f>
        <v>159418080</v>
      </c>
      <c r="AU79" s="23"/>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row>
    <row r="80" spans="1:75" ht="15.75">
      <c r="A80" s="302">
        <v>1</v>
      </c>
      <c r="B80" s="367" t="s">
        <v>68</v>
      </c>
      <c r="C80" s="446"/>
      <c r="D80" s="446"/>
      <c r="E80" s="304">
        <f>F80+G80+X80</f>
        <v>8.916</v>
      </c>
      <c r="F80" s="305">
        <v>3.96</v>
      </c>
      <c r="G80" s="304">
        <f>H80+I80+J80+K80+L80+M80+N80+O80+P80+Q80+R80+S80+T80+U80+W80</f>
        <v>4.02</v>
      </c>
      <c r="H80" s="304">
        <v>0.7</v>
      </c>
      <c r="I80" s="304">
        <v>0.2</v>
      </c>
      <c r="J80" s="304"/>
      <c r="K80" s="304">
        <f>(F80+I80)*50%</f>
        <v>2.08</v>
      </c>
      <c r="L80" s="304"/>
      <c r="M80" s="304"/>
      <c r="N80" s="304"/>
      <c r="O80" s="319">
        <f>(F80+I80)*25%</f>
        <v>1.04</v>
      </c>
      <c r="P80" s="304"/>
      <c r="Q80" s="304"/>
      <c r="R80" s="304"/>
      <c r="S80" s="305"/>
      <c r="T80" s="304"/>
      <c r="U80" s="304"/>
      <c r="V80" s="304"/>
      <c r="W80" s="304"/>
      <c r="X80" s="304">
        <f>(F80+I80)*22.5%</f>
        <v>0.936</v>
      </c>
      <c r="Y80" s="307">
        <f>E80*1490000*12</f>
        <v>159418080</v>
      </c>
      <c r="Z80" s="348"/>
      <c r="AA80" s="348">
        <f>AB80+AC80+AS80</f>
        <v>6.625</v>
      </c>
      <c r="AB80" s="348">
        <v>3</v>
      </c>
      <c r="AC80" s="348">
        <f>SUM(AD80:AR80)</f>
        <v>2.95</v>
      </c>
      <c r="AD80" s="348">
        <v>0.7</v>
      </c>
      <c r="AE80" s="348"/>
      <c r="AF80" s="348"/>
      <c r="AG80" s="348">
        <f>0.5*(AB80+AE80)</f>
        <v>1.5</v>
      </c>
      <c r="AH80" s="348"/>
      <c r="AI80" s="348"/>
      <c r="AJ80" s="348"/>
      <c r="AK80" s="348">
        <f>0.25*(AB80+AE80)</f>
        <v>0.75</v>
      </c>
      <c r="AL80" s="348"/>
      <c r="AM80" s="348"/>
      <c r="AN80" s="348"/>
      <c r="AO80" s="348"/>
      <c r="AP80" s="348"/>
      <c r="AQ80" s="348"/>
      <c r="AR80" s="348"/>
      <c r="AS80" s="472">
        <f>(AB80+AE80)*22.5%</f>
        <v>0.675</v>
      </c>
      <c r="AT80" s="491">
        <f>AA80*1490000*12</f>
        <v>118455000</v>
      </c>
      <c r="AU80" s="13"/>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row>
    <row r="81" spans="1:75" ht="15.75">
      <c r="A81" s="302">
        <v>2</v>
      </c>
      <c r="B81" s="367" t="s">
        <v>132</v>
      </c>
      <c r="C81" s="446"/>
      <c r="D81" s="446"/>
      <c r="E81" s="304">
        <f>F81+G81+X81</f>
        <v>2.8665</v>
      </c>
      <c r="F81" s="305">
        <v>2.34</v>
      </c>
      <c r="G81" s="304">
        <f>H81+I81+J81+K81+L81+M81+N81+O81+P81+Q81+R81+S81+T81+U81+W81</f>
        <v>0</v>
      </c>
      <c r="H81" s="304"/>
      <c r="I81" s="304"/>
      <c r="J81" s="304"/>
      <c r="K81" s="304"/>
      <c r="L81" s="304"/>
      <c r="M81" s="304"/>
      <c r="N81" s="304"/>
      <c r="O81" s="319"/>
      <c r="P81" s="304"/>
      <c r="Q81" s="304"/>
      <c r="R81" s="304"/>
      <c r="S81" s="305"/>
      <c r="T81" s="304"/>
      <c r="U81" s="304"/>
      <c r="V81" s="304"/>
      <c r="W81" s="304"/>
      <c r="X81" s="304">
        <f>(F81+I81)*22.5%</f>
        <v>0.5265</v>
      </c>
      <c r="Y81" s="307">
        <f>E81*1490000*12</f>
        <v>51253020</v>
      </c>
      <c r="Z81" s="348"/>
      <c r="AA81" s="348">
        <f>AB81+AC81+AS81</f>
        <v>5.3215</v>
      </c>
      <c r="AB81" s="348">
        <v>2.34</v>
      </c>
      <c r="AC81" s="348">
        <f>SUM(AD81:AR81)</f>
        <v>2.455</v>
      </c>
      <c r="AD81" s="348">
        <v>0.7</v>
      </c>
      <c r="AE81" s="348"/>
      <c r="AF81" s="348"/>
      <c r="AG81" s="348">
        <f>0.5*(AB81+AE81)</f>
        <v>1.17</v>
      </c>
      <c r="AH81" s="348"/>
      <c r="AI81" s="348"/>
      <c r="AJ81" s="348"/>
      <c r="AK81" s="348">
        <f>0.25*(AB81+AE81)</f>
        <v>0.585</v>
      </c>
      <c r="AL81" s="348"/>
      <c r="AM81" s="348"/>
      <c r="AN81" s="348"/>
      <c r="AO81" s="348"/>
      <c r="AP81" s="348"/>
      <c r="AQ81" s="348"/>
      <c r="AR81" s="348"/>
      <c r="AS81" s="472">
        <f>(AB81+AE81)*22.5%</f>
        <v>0.5265</v>
      </c>
      <c r="AT81" s="491">
        <f>AA81*1490000*12</f>
        <v>95148420.00000001</v>
      </c>
      <c r="AU81" s="13"/>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row>
    <row r="82" spans="1:75" ht="15.75">
      <c r="A82" s="302">
        <v>3</v>
      </c>
      <c r="B82" s="367" t="s">
        <v>131</v>
      </c>
      <c r="C82" s="446"/>
      <c r="D82" s="446"/>
      <c r="E82" s="304">
        <f>F82+G82+X82</f>
        <v>6.625</v>
      </c>
      <c r="F82" s="305">
        <v>3</v>
      </c>
      <c r="G82" s="304">
        <f>H82+I82+J82+K82+L82+M82+N82+O82+P82+Q82+R82+S82+T82+U82+W82</f>
        <v>2.95</v>
      </c>
      <c r="H82" s="304">
        <v>0.7</v>
      </c>
      <c r="I82" s="304"/>
      <c r="J82" s="304"/>
      <c r="K82" s="304">
        <f>(F82+I82)*50%</f>
        <v>1.5</v>
      </c>
      <c r="L82" s="304"/>
      <c r="M82" s="304"/>
      <c r="N82" s="304"/>
      <c r="O82" s="319">
        <f>(F82+I82)*25%</f>
        <v>0.75</v>
      </c>
      <c r="P82" s="304"/>
      <c r="Q82" s="304"/>
      <c r="R82" s="304"/>
      <c r="S82" s="305"/>
      <c r="T82" s="304"/>
      <c r="U82" s="304"/>
      <c r="V82" s="304"/>
      <c r="W82" s="304"/>
      <c r="X82" s="304">
        <f>(F82+I82)*22.5%</f>
        <v>0.675</v>
      </c>
      <c r="Y82" s="307">
        <f>E82*1490000*12</f>
        <v>118455000</v>
      </c>
      <c r="Z82" s="348"/>
      <c r="AA82" s="368">
        <f>AB82+AS82</f>
        <v>2.8665</v>
      </c>
      <c r="AB82" s="348">
        <v>2.34</v>
      </c>
      <c r="AC82" s="348"/>
      <c r="AD82" s="348"/>
      <c r="AE82" s="348"/>
      <c r="AF82" s="348"/>
      <c r="AG82" s="348"/>
      <c r="AH82" s="348"/>
      <c r="AI82" s="348"/>
      <c r="AJ82" s="348"/>
      <c r="AK82" s="348"/>
      <c r="AL82" s="348"/>
      <c r="AM82" s="348"/>
      <c r="AN82" s="348"/>
      <c r="AO82" s="348"/>
      <c r="AP82" s="348"/>
      <c r="AQ82" s="348"/>
      <c r="AR82" s="348"/>
      <c r="AS82" s="472">
        <f>(AB82+AE82)*22.5%</f>
        <v>0.5265</v>
      </c>
      <c r="AT82" s="491">
        <f>AA82*1490000*12</f>
        <v>51253020</v>
      </c>
      <c r="AU82" s="13"/>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row>
    <row r="83" spans="1:75" ht="15.75">
      <c r="A83" s="302">
        <v>4</v>
      </c>
      <c r="B83" s="367" t="s">
        <v>130</v>
      </c>
      <c r="C83" s="446"/>
      <c r="D83" s="446"/>
      <c r="E83" s="304">
        <f>F83+G83+X83</f>
        <v>5.3215</v>
      </c>
      <c r="F83" s="305">
        <v>2.34</v>
      </c>
      <c r="G83" s="304">
        <f>H83+I83+J83+K83+L83+M83+N83+O83+P83+Q83+R83+S83+T83+U83+W83</f>
        <v>2.455</v>
      </c>
      <c r="H83" s="304">
        <v>0.7</v>
      </c>
      <c r="I83" s="304"/>
      <c r="J83" s="304"/>
      <c r="K83" s="304">
        <f>(F83+I83)*50%</f>
        <v>1.17</v>
      </c>
      <c r="L83" s="304"/>
      <c r="M83" s="304"/>
      <c r="N83" s="304"/>
      <c r="O83" s="319">
        <f>(F83+I83)*25%</f>
        <v>0.585</v>
      </c>
      <c r="P83" s="304"/>
      <c r="Q83" s="304"/>
      <c r="R83" s="304"/>
      <c r="S83" s="305"/>
      <c r="T83" s="304"/>
      <c r="U83" s="304"/>
      <c r="V83" s="304"/>
      <c r="W83" s="304"/>
      <c r="X83" s="304">
        <f>(F83+I83)*22.5%</f>
        <v>0.5265</v>
      </c>
      <c r="Y83" s="307">
        <f>E83*1490000*12</f>
        <v>95148420.00000001</v>
      </c>
      <c r="Z83" s="343"/>
      <c r="AA83" s="343">
        <f>SUM(AA84:AA86)</f>
        <v>15.8005</v>
      </c>
      <c r="AB83" s="343">
        <f aca="true" t="shared" si="68" ref="AB83:AT83">SUM(AB84:AB86)</f>
        <v>7.68</v>
      </c>
      <c r="AC83" s="343">
        <f t="shared" si="68"/>
        <v>6.28</v>
      </c>
      <c r="AD83" s="343">
        <f t="shared" si="68"/>
        <v>1.4</v>
      </c>
      <c r="AE83" s="343">
        <f t="shared" si="68"/>
        <v>0.5</v>
      </c>
      <c r="AF83" s="343">
        <f t="shared" si="68"/>
        <v>0</v>
      </c>
      <c r="AG83" s="343">
        <f t="shared" si="68"/>
        <v>2.92</v>
      </c>
      <c r="AH83" s="343">
        <f t="shared" si="68"/>
        <v>0</v>
      </c>
      <c r="AI83" s="343">
        <f t="shared" si="68"/>
        <v>0</v>
      </c>
      <c r="AJ83" s="343">
        <f t="shared" si="68"/>
        <v>0</v>
      </c>
      <c r="AK83" s="343">
        <f t="shared" si="68"/>
        <v>1.46</v>
      </c>
      <c r="AL83" s="343">
        <f t="shared" si="68"/>
        <v>0</v>
      </c>
      <c r="AM83" s="343">
        <f t="shared" si="68"/>
        <v>0</v>
      </c>
      <c r="AN83" s="343">
        <f t="shared" si="68"/>
        <v>0</v>
      </c>
      <c r="AO83" s="343">
        <f t="shared" si="68"/>
        <v>0</v>
      </c>
      <c r="AP83" s="343">
        <f t="shared" si="68"/>
        <v>0</v>
      </c>
      <c r="AQ83" s="343">
        <f t="shared" si="68"/>
        <v>0</v>
      </c>
      <c r="AR83" s="343">
        <f t="shared" si="68"/>
        <v>0</v>
      </c>
      <c r="AS83" s="466">
        <f t="shared" si="68"/>
        <v>1.8405</v>
      </c>
      <c r="AT83" s="369">
        <f t="shared" si="68"/>
        <v>168060080</v>
      </c>
      <c r="AU83" s="13"/>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row>
    <row r="84" spans="1:75" ht="15.75">
      <c r="A84" s="316" t="s">
        <v>129</v>
      </c>
      <c r="B84" s="296" t="s">
        <v>128</v>
      </c>
      <c r="C84" s="445">
        <v>2</v>
      </c>
      <c r="D84" s="445">
        <v>1</v>
      </c>
      <c r="E84" s="299">
        <f aca="true" t="shared" si="69" ref="E84:X84">SUM(E85:E86)</f>
        <v>9.23475</v>
      </c>
      <c r="F84" s="299">
        <f t="shared" si="69"/>
        <v>5.01</v>
      </c>
      <c r="G84" s="299">
        <f t="shared" si="69"/>
        <v>3.0525</v>
      </c>
      <c r="H84" s="299">
        <f t="shared" si="69"/>
        <v>0.7</v>
      </c>
      <c r="I84" s="299">
        <f t="shared" si="69"/>
        <v>0.2</v>
      </c>
      <c r="J84" s="299">
        <f t="shared" si="69"/>
        <v>0</v>
      </c>
      <c r="K84" s="299">
        <f t="shared" si="69"/>
        <v>1.435</v>
      </c>
      <c r="L84" s="299">
        <f t="shared" si="69"/>
        <v>0</v>
      </c>
      <c r="M84" s="299">
        <f t="shared" si="69"/>
        <v>0</v>
      </c>
      <c r="N84" s="299">
        <f t="shared" si="69"/>
        <v>0</v>
      </c>
      <c r="O84" s="299">
        <f t="shared" si="69"/>
        <v>0.7175</v>
      </c>
      <c r="P84" s="299">
        <f t="shared" si="69"/>
        <v>0</v>
      </c>
      <c r="Q84" s="299">
        <f t="shared" si="69"/>
        <v>0</v>
      </c>
      <c r="R84" s="299">
        <f t="shared" si="69"/>
        <v>0</v>
      </c>
      <c r="S84" s="299">
        <f t="shared" si="69"/>
        <v>0</v>
      </c>
      <c r="T84" s="299">
        <f t="shared" si="69"/>
        <v>0</v>
      </c>
      <c r="U84" s="299">
        <f t="shared" si="69"/>
        <v>0</v>
      </c>
      <c r="V84" s="299">
        <f t="shared" si="69"/>
        <v>0</v>
      </c>
      <c r="W84" s="299">
        <f t="shared" si="69"/>
        <v>0</v>
      </c>
      <c r="X84" s="299">
        <f t="shared" si="69"/>
        <v>1.17225</v>
      </c>
      <c r="Y84" s="299">
        <f>ROUNDUP(SUM(Y85:Y86),-3)</f>
        <v>165118000</v>
      </c>
      <c r="Z84" s="348"/>
      <c r="AA84" s="348">
        <f>AB84+AC84+AS84</f>
        <v>6.36825</v>
      </c>
      <c r="AB84" s="348">
        <v>2.67</v>
      </c>
      <c r="AC84" s="348">
        <f>SUM(AD84:AR84)</f>
        <v>3.0525</v>
      </c>
      <c r="AD84" s="348">
        <v>0.7</v>
      </c>
      <c r="AE84" s="348">
        <v>0.2</v>
      </c>
      <c r="AF84" s="348"/>
      <c r="AG84" s="348">
        <f>0.5*(AB84+AE84)</f>
        <v>1.435</v>
      </c>
      <c r="AH84" s="348"/>
      <c r="AI84" s="348"/>
      <c r="AJ84" s="348"/>
      <c r="AK84" s="348">
        <f>0.25*(AB84+AE84)</f>
        <v>0.7175</v>
      </c>
      <c r="AL84" s="348"/>
      <c r="AM84" s="348"/>
      <c r="AN84" s="348"/>
      <c r="AO84" s="348"/>
      <c r="AP84" s="348"/>
      <c r="AQ84" s="348"/>
      <c r="AR84" s="348"/>
      <c r="AS84" s="472">
        <f>(AB84+AE84)*22.5%</f>
        <v>0.64575</v>
      </c>
      <c r="AT84" s="490">
        <f>AA84*1490000*2</f>
        <v>18977385</v>
      </c>
      <c r="AU84" s="23"/>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row>
    <row r="85" spans="1:75" ht="15.75">
      <c r="A85" s="302"/>
      <c r="B85" s="367" t="s">
        <v>127</v>
      </c>
      <c r="C85" s="446"/>
      <c r="D85" s="446"/>
      <c r="E85" s="304">
        <f>F85+G85+X85</f>
        <v>6.36825</v>
      </c>
      <c r="F85" s="304">
        <v>2.67</v>
      </c>
      <c r="G85" s="304">
        <f>SUM(H85:W85)</f>
        <v>3.0525</v>
      </c>
      <c r="H85" s="304">
        <v>0.7</v>
      </c>
      <c r="I85" s="304">
        <v>0.2</v>
      </c>
      <c r="J85" s="304"/>
      <c r="K85" s="304">
        <f>(F85+I85)*50%</f>
        <v>1.435</v>
      </c>
      <c r="L85" s="304"/>
      <c r="M85" s="304"/>
      <c r="N85" s="304"/>
      <c r="O85" s="304">
        <f>(F85+I85)*25%</f>
        <v>0.7175</v>
      </c>
      <c r="P85" s="304"/>
      <c r="Q85" s="304"/>
      <c r="R85" s="304"/>
      <c r="S85" s="304"/>
      <c r="T85" s="304"/>
      <c r="U85" s="304"/>
      <c r="V85" s="304"/>
      <c r="W85" s="304"/>
      <c r="X85" s="304">
        <f>(F85+I85)*22.5%</f>
        <v>0.64575</v>
      </c>
      <c r="Y85" s="304">
        <f>E85*1490000*12</f>
        <v>113864310</v>
      </c>
      <c r="Z85" s="348"/>
      <c r="AA85" s="348">
        <f>AB85+AC85+AS85</f>
        <v>6.5657499999999995</v>
      </c>
      <c r="AB85" s="348">
        <v>2.67</v>
      </c>
      <c r="AC85" s="348">
        <f>SUM(AD85:AR85)</f>
        <v>3.2275</v>
      </c>
      <c r="AD85" s="348">
        <v>0.7</v>
      </c>
      <c r="AE85" s="348">
        <v>0.3</v>
      </c>
      <c r="AF85" s="348"/>
      <c r="AG85" s="348">
        <f>0.5*(AB85+AE85)</f>
        <v>1.4849999999999999</v>
      </c>
      <c r="AH85" s="348"/>
      <c r="AI85" s="348"/>
      <c r="AJ85" s="348"/>
      <c r="AK85" s="348">
        <f>0.25*(AB85+AE85)</f>
        <v>0.7424999999999999</v>
      </c>
      <c r="AL85" s="348"/>
      <c r="AM85" s="348"/>
      <c r="AN85" s="348"/>
      <c r="AO85" s="348"/>
      <c r="AP85" s="348"/>
      <c r="AQ85" s="348"/>
      <c r="AR85" s="348"/>
      <c r="AS85" s="472">
        <f>(AB85+AE85)*22.5%</f>
        <v>0.66825</v>
      </c>
      <c r="AT85" s="490">
        <f>AA85*1490000*10</f>
        <v>97829675</v>
      </c>
      <c r="AU85" s="13"/>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row>
    <row r="86" spans="1:75" ht="15.75">
      <c r="A86" s="316">
        <v>3</v>
      </c>
      <c r="B86" s="351" t="s">
        <v>83</v>
      </c>
      <c r="C86" s="446"/>
      <c r="D86" s="446"/>
      <c r="E86" s="319">
        <f>F86+G86+X86</f>
        <v>2.8665</v>
      </c>
      <c r="F86" s="305">
        <v>2.34</v>
      </c>
      <c r="G86" s="304">
        <f>SUM(H86:W86)</f>
        <v>0</v>
      </c>
      <c r="H86" s="304"/>
      <c r="I86" s="304"/>
      <c r="J86" s="304"/>
      <c r="K86" s="304"/>
      <c r="L86" s="304"/>
      <c r="M86" s="304"/>
      <c r="N86" s="304"/>
      <c r="O86" s="319"/>
      <c r="P86" s="304"/>
      <c r="Q86" s="304"/>
      <c r="R86" s="304"/>
      <c r="S86" s="305"/>
      <c r="T86" s="304"/>
      <c r="U86" s="304"/>
      <c r="V86" s="304"/>
      <c r="W86" s="319"/>
      <c r="X86" s="304">
        <f>(F86+I86)*0.225</f>
        <v>0.5265</v>
      </c>
      <c r="Y86" s="307">
        <f>E86*1490000*12</f>
        <v>51253020</v>
      </c>
      <c r="Z86" s="348"/>
      <c r="AA86" s="348">
        <f>AB86+AC86+AS86</f>
        <v>2.8665</v>
      </c>
      <c r="AB86" s="348">
        <v>2.34</v>
      </c>
      <c r="AC86" s="348"/>
      <c r="AD86" s="348"/>
      <c r="AE86" s="348"/>
      <c r="AF86" s="348"/>
      <c r="AG86" s="348"/>
      <c r="AH86" s="348"/>
      <c r="AI86" s="348"/>
      <c r="AJ86" s="348"/>
      <c r="AK86" s="348"/>
      <c r="AL86" s="348"/>
      <c r="AM86" s="348"/>
      <c r="AN86" s="348"/>
      <c r="AO86" s="348"/>
      <c r="AP86" s="348"/>
      <c r="AQ86" s="348"/>
      <c r="AR86" s="348"/>
      <c r="AS86" s="472">
        <f>(AB86+AE86)*22.5%</f>
        <v>0.5265</v>
      </c>
      <c r="AT86" s="490">
        <f>AA86*1490000*12</f>
        <v>51253020</v>
      </c>
      <c r="AU86" s="13"/>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row>
    <row r="87" spans="1:75" ht="15.75">
      <c r="A87" s="316" t="s">
        <v>126</v>
      </c>
      <c r="B87" s="317" t="s">
        <v>125</v>
      </c>
      <c r="C87" s="445">
        <f aca="true" t="shared" si="70" ref="C87:U87">C88+C124</f>
        <v>48</v>
      </c>
      <c r="D87" s="445">
        <f t="shared" si="70"/>
        <v>42</v>
      </c>
      <c r="E87" s="299">
        <f t="shared" si="70"/>
        <v>391.04049999999995</v>
      </c>
      <c r="F87" s="299">
        <f t="shared" si="70"/>
        <v>154.3</v>
      </c>
      <c r="G87" s="299">
        <f t="shared" si="70"/>
        <v>199.97699999999998</v>
      </c>
      <c r="H87" s="299">
        <f t="shared" si="70"/>
        <v>29.399999999999988</v>
      </c>
      <c r="I87" s="299">
        <f t="shared" si="70"/>
        <v>8.2</v>
      </c>
      <c r="J87" s="299">
        <f t="shared" si="70"/>
        <v>0</v>
      </c>
      <c r="K87" s="299">
        <f t="shared" si="70"/>
        <v>74.23</v>
      </c>
      <c r="L87" s="299">
        <f t="shared" si="70"/>
        <v>0</v>
      </c>
      <c r="M87" s="299">
        <f t="shared" si="70"/>
        <v>0.512</v>
      </c>
      <c r="N87" s="299">
        <f t="shared" si="70"/>
        <v>0</v>
      </c>
      <c r="O87" s="299">
        <f t="shared" si="70"/>
        <v>37.115</v>
      </c>
      <c r="P87" s="299">
        <f t="shared" si="70"/>
        <v>0</v>
      </c>
      <c r="Q87" s="299">
        <f t="shared" si="70"/>
        <v>0</v>
      </c>
      <c r="R87" s="299">
        <f t="shared" si="70"/>
        <v>0</v>
      </c>
      <c r="S87" s="299">
        <f t="shared" si="70"/>
        <v>0</v>
      </c>
      <c r="T87" s="299">
        <f t="shared" si="70"/>
        <v>44.53799999999998</v>
      </c>
      <c r="U87" s="299">
        <f t="shared" si="70"/>
        <v>0.45</v>
      </c>
      <c r="V87" s="299"/>
      <c r="W87" s="299">
        <f>W88+W124</f>
        <v>4.5</v>
      </c>
      <c r="X87" s="299">
        <f>X88+X124</f>
        <v>36.76350000000001</v>
      </c>
      <c r="Y87" s="300">
        <f>Y88+Y124</f>
        <v>6991804204</v>
      </c>
      <c r="Z87" s="343"/>
      <c r="AA87" s="343">
        <f>SUM(AA88:AA92)</f>
        <v>39.859750000000005</v>
      </c>
      <c r="AB87" s="343">
        <f aca="true" t="shared" si="71" ref="AB87:AT87">SUM(AB88:AB92)</f>
        <v>17.71</v>
      </c>
      <c r="AC87" s="343">
        <f t="shared" si="71"/>
        <v>18.0075</v>
      </c>
      <c r="AD87" s="343">
        <f t="shared" si="71"/>
        <v>3.5</v>
      </c>
      <c r="AE87" s="343">
        <f t="shared" si="71"/>
        <v>0.7</v>
      </c>
      <c r="AF87" s="343">
        <f t="shared" si="71"/>
        <v>0</v>
      </c>
      <c r="AG87" s="343">
        <f t="shared" si="71"/>
        <v>9.205000000000002</v>
      </c>
      <c r="AH87" s="343">
        <f t="shared" si="71"/>
        <v>0</v>
      </c>
      <c r="AI87" s="343">
        <f t="shared" si="71"/>
        <v>0</v>
      </c>
      <c r="AJ87" s="343">
        <f t="shared" si="71"/>
        <v>0</v>
      </c>
      <c r="AK87" s="343">
        <f t="shared" si="71"/>
        <v>4.602500000000001</v>
      </c>
      <c r="AL87" s="343">
        <f t="shared" si="71"/>
        <v>0</v>
      </c>
      <c r="AM87" s="343">
        <f t="shared" si="71"/>
        <v>0</v>
      </c>
      <c r="AN87" s="343">
        <f t="shared" si="71"/>
        <v>0</v>
      </c>
      <c r="AO87" s="343">
        <f t="shared" si="71"/>
        <v>0</v>
      </c>
      <c r="AP87" s="343">
        <f t="shared" si="71"/>
        <v>0</v>
      </c>
      <c r="AQ87" s="343">
        <f t="shared" si="71"/>
        <v>0</v>
      </c>
      <c r="AR87" s="343">
        <f t="shared" si="71"/>
        <v>0</v>
      </c>
      <c r="AS87" s="466">
        <f t="shared" si="71"/>
        <v>4.142250000000001</v>
      </c>
      <c r="AT87" s="369">
        <f t="shared" si="71"/>
        <v>712692330</v>
      </c>
      <c r="AU87" s="23"/>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row>
    <row r="88" spans="1:75" ht="15.75">
      <c r="A88" s="316" t="s">
        <v>124</v>
      </c>
      <c r="B88" s="317" t="s">
        <v>123</v>
      </c>
      <c r="C88" s="445">
        <v>36</v>
      </c>
      <c r="D88" s="445">
        <v>31</v>
      </c>
      <c r="E88" s="318">
        <f aca="true" t="shared" si="72" ref="E88:Y88">+E89+E121</f>
        <v>287.59719999999993</v>
      </c>
      <c r="F88" s="318">
        <f t="shared" si="72"/>
        <v>115.39000000000001</v>
      </c>
      <c r="G88" s="318">
        <f t="shared" si="72"/>
        <v>144.85799999999998</v>
      </c>
      <c r="H88" s="318">
        <f t="shared" si="72"/>
        <v>20.99999999999999</v>
      </c>
      <c r="I88" s="318">
        <f t="shared" si="72"/>
        <v>5.65</v>
      </c>
      <c r="J88" s="318">
        <f t="shared" si="72"/>
        <v>0</v>
      </c>
      <c r="K88" s="318">
        <f t="shared" si="72"/>
        <v>53.50000000000001</v>
      </c>
      <c r="L88" s="318">
        <f t="shared" si="72"/>
        <v>0</v>
      </c>
      <c r="M88" s="318">
        <f t="shared" si="72"/>
        <v>0.512</v>
      </c>
      <c r="N88" s="318">
        <f t="shared" si="72"/>
        <v>0</v>
      </c>
      <c r="O88" s="318">
        <f t="shared" si="72"/>
        <v>26.750000000000004</v>
      </c>
      <c r="P88" s="318">
        <f t="shared" si="72"/>
        <v>0</v>
      </c>
      <c r="Q88" s="318">
        <f t="shared" si="72"/>
        <v>0</v>
      </c>
      <c r="R88" s="318">
        <f t="shared" si="72"/>
        <v>0</v>
      </c>
      <c r="S88" s="318">
        <f t="shared" si="72"/>
        <v>0</v>
      </c>
      <c r="T88" s="318">
        <f t="shared" si="72"/>
        <v>32.09999999999999</v>
      </c>
      <c r="U88" s="318">
        <f t="shared" si="72"/>
        <v>0.45</v>
      </c>
      <c r="V88" s="318">
        <f t="shared" si="72"/>
        <v>0.396</v>
      </c>
      <c r="W88" s="318">
        <f t="shared" si="72"/>
        <v>4.5</v>
      </c>
      <c r="X88" s="318">
        <f t="shared" si="72"/>
        <v>27.349200000000007</v>
      </c>
      <c r="Y88" s="318">
        <f t="shared" si="72"/>
        <v>5142238000</v>
      </c>
      <c r="Z88" s="369"/>
      <c r="AA88" s="370">
        <f>AB88+AC88+AS88</f>
        <v>8.521</v>
      </c>
      <c r="AB88" s="371">
        <f>3.66</f>
        <v>3.66</v>
      </c>
      <c r="AC88" s="370">
        <f>SUM(AD88:AQ88)</f>
        <v>3.9699999999999998</v>
      </c>
      <c r="AD88" s="371">
        <v>0.7</v>
      </c>
      <c r="AE88" s="371">
        <v>0.3</v>
      </c>
      <c r="AF88" s="369"/>
      <c r="AG88" s="372">
        <f>(AB88+AE88)*0.5</f>
        <v>1.98</v>
      </c>
      <c r="AH88" s="369"/>
      <c r="AI88" s="369"/>
      <c r="AJ88" s="369"/>
      <c r="AK88" s="373">
        <f>0.25*(AB88+AE88)</f>
        <v>0.99</v>
      </c>
      <c r="AL88" s="369"/>
      <c r="AM88" s="369"/>
      <c r="AN88" s="369"/>
      <c r="AO88" s="369"/>
      <c r="AP88" s="369"/>
      <c r="AQ88" s="369"/>
      <c r="AR88" s="369"/>
      <c r="AS88" s="473">
        <f>(AB88+AE88)*22.5%</f>
        <v>0.891</v>
      </c>
      <c r="AT88" s="374">
        <f>AA88*12*1490000</f>
        <v>152355480</v>
      </c>
      <c r="AU88" s="23"/>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row>
    <row r="89" spans="1:75" ht="15.75">
      <c r="A89" s="316" t="s">
        <v>99</v>
      </c>
      <c r="B89" s="317" t="s">
        <v>86</v>
      </c>
      <c r="C89" s="445"/>
      <c r="D89" s="445"/>
      <c r="E89" s="375">
        <f aca="true" t="shared" si="73" ref="E89:X89">SUM(E90:E120)</f>
        <v>287.59719999999993</v>
      </c>
      <c r="F89" s="318">
        <f t="shared" si="73"/>
        <v>115.39000000000001</v>
      </c>
      <c r="G89" s="318">
        <f t="shared" si="73"/>
        <v>144.85799999999998</v>
      </c>
      <c r="H89" s="318">
        <f t="shared" si="73"/>
        <v>20.99999999999999</v>
      </c>
      <c r="I89" s="318">
        <f t="shared" si="73"/>
        <v>5.65</v>
      </c>
      <c r="J89" s="318">
        <f t="shared" si="73"/>
        <v>0</v>
      </c>
      <c r="K89" s="318">
        <f t="shared" si="73"/>
        <v>53.50000000000001</v>
      </c>
      <c r="L89" s="318">
        <f t="shared" si="73"/>
        <v>0</v>
      </c>
      <c r="M89" s="318">
        <f t="shared" si="73"/>
        <v>0.512</v>
      </c>
      <c r="N89" s="318">
        <f t="shared" si="73"/>
        <v>0</v>
      </c>
      <c r="O89" s="318">
        <f t="shared" si="73"/>
        <v>26.750000000000004</v>
      </c>
      <c r="P89" s="318">
        <f t="shared" si="73"/>
        <v>0</v>
      </c>
      <c r="Q89" s="318">
        <f t="shared" si="73"/>
        <v>0</v>
      </c>
      <c r="R89" s="318">
        <f t="shared" si="73"/>
        <v>0</v>
      </c>
      <c r="S89" s="318">
        <f t="shared" si="73"/>
        <v>0</v>
      </c>
      <c r="T89" s="318">
        <f t="shared" si="73"/>
        <v>32.09999999999999</v>
      </c>
      <c r="U89" s="318">
        <f t="shared" si="73"/>
        <v>0.45</v>
      </c>
      <c r="V89" s="318">
        <f t="shared" si="73"/>
        <v>0.396</v>
      </c>
      <c r="W89" s="318">
        <f t="shared" si="73"/>
        <v>4.5</v>
      </c>
      <c r="X89" s="318">
        <f t="shared" si="73"/>
        <v>27.349200000000007</v>
      </c>
      <c r="Y89" s="318">
        <f>ROUNDUP(SUM(Y90:Y120),-3)</f>
        <v>5142238000</v>
      </c>
      <c r="Z89" s="369"/>
      <c r="AA89" s="370">
        <f>AB89+AC89+AS89</f>
        <v>8.97525</v>
      </c>
      <c r="AB89" s="371">
        <f>3.99</f>
        <v>3.99</v>
      </c>
      <c r="AC89" s="370">
        <f>SUM(AD89:AQ89)</f>
        <v>4.0425</v>
      </c>
      <c r="AD89" s="371">
        <v>0.7</v>
      </c>
      <c r="AE89" s="371">
        <v>0.2</v>
      </c>
      <c r="AF89" s="369"/>
      <c r="AG89" s="372">
        <f>(AB89+AE89)*0.5</f>
        <v>2.095</v>
      </c>
      <c r="AH89" s="369"/>
      <c r="AI89" s="369"/>
      <c r="AJ89" s="369"/>
      <c r="AK89" s="373">
        <f>0.25*(AB89+AE89)</f>
        <v>1.0475</v>
      </c>
      <c r="AL89" s="369"/>
      <c r="AM89" s="369"/>
      <c r="AN89" s="369"/>
      <c r="AO89" s="369"/>
      <c r="AP89" s="369"/>
      <c r="AQ89" s="369"/>
      <c r="AR89" s="369"/>
      <c r="AS89" s="473">
        <f>(AB89+AE89)*22.5%</f>
        <v>0.9427500000000001</v>
      </c>
      <c r="AT89" s="374">
        <f>AA89*12*1490000</f>
        <v>160477470</v>
      </c>
      <c r="AU89" s="23"/>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row>
    <row r="90" spans="1:75" ht="15.75">
      <c r="A90" s="376">
        <v>1</v>
      </c>
      <c r="B90" s="16" t="s">
        <v>122</v>
      </c>
      <c r="C90" s="447"/>
      <c r="D90" s="447"/>
      <c r="E90" s="377">
        <f>F90+G90+X90</f>
        <v>13.4535</v>
      </c>
      <c r="F90" s="378">
        <v>4.74</v>
      </c>
      <c r="G90" s="377">
        <f>SUM(H90:W90)</f>
        <v>7.467</v>
      </c>
      <c r="H90" s="377">
        <v>0.7</v>
      </c>
      <c r="I90" s="379">
        <v>0.8</v>
      </c>
      <c r="J90" s="377"/>
      <c r="K90" s="377">
        <f aca="true" t="shared" si="74" ref="K90:K117">(F90+I90+J90)*50%</f>
        <v>2.77</v>
      </c>
      <c r="L90" s="377"/>
      <c r="M90" s="377"/>
      <c r="N90" s="377"/>
      <c r="O90" s="380">
        <f aca="true" t="shared" si="75" ref="O90:O117">(F90+I90+J90)*25%</f>
        <v>1.385</v>
      </c>
      <c r="P90" s="377"/>
      <c r="Q90" s="377"/>
      <c r="R90" s="377"/>
      <c r="S90" s="381"/>
      <c r="T90" s="377">
        <f aca="true" t="shared" si="76" ref="T90:T119">(F90+I90+J90)*30%</f>
        <v>1.662</v>
      </c>
      <c r="U90" s="377"/>
      <c r="V90" s="377"/>
      <c r="W90" s="377">
        <v>0.15</v>
      </c>
      <c r="X90" s="377">
        <f>(F90+I90+J90)*22.5%</f>
        <v>1.2465</v>
      </c>
      <c r="Y90" s="382">
        <f>E90*1490000*12</f>
        <v>240548580</v>
      </c>
      <c r="Z90" s="369"/>
      <c r="AA90" s="370">
        <f>AB90+AC90+AS90</f>
        <v>9.626999999999999</v>
      </c>
      <c r="AB90" s="371">
        <f>4.32</f>
        <v>4.32</v>
      </c>
      <c r="AC90" s="370">
        <f>SUM(AD90:AQ90)</f>
        <v>4.29</v>
      </c>
      <c r="AD90" s="371">
        <v>0.7</v>
      </c>
      <c r="AE90" s="371">
        <v>0.2</v>
      </c>
      <c r="AF90" s="369"/>
      <c r="AG90" s="372">
        <f>(AB90+AE90)*0.5</f>
        <v>2.2600000000000002</v>
      </c>
      <c r="AH90" s="369"/>
      <c r="AI90" s="369"/>
      <c r="AJ90" s="369"/>
      <c r="AK90" s="373">
        <f>0.25*(AB90+AE90)</f>
        <v>1.1300000000000001</v>
      </c>
      <c r="AL90" s="369"/>
      <c r="AM90" s="369"/>
      <c r="AN90" s="369"/>
      <c r="AO90" s="369"/>
      <c r="AP90" s="369"/>
      <c r="AQ90" s="369"/>
      <c r="AR90" s="369"/>
      <c r="AS90" s="473">
        <f>(AB90+AE90)*22.5%</f>
        <v>1.0170000000000001</v>
      </c>
      <c r="AT90" s="374">
        <f>AA90*12*1490000</f>
        <v>172130759.99999997</v>
      </c>
      <c r="AU90" s="24"/>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row>
    <row r="91" spans="1:75" ht="15.75">
      <c r="A91" s="376">
        <v>2</v>
      </c>
      <c r="B91" s="16" t="s">
        <v>47</v>
      </c>
      <c r="C91" s="447"/>
      <c r="D91" s="447"/>
      <c r="E91" s="377">
        <f aca="true" t="shared" si="77" ref="E91:E120">F91+G91+X91</f>
        <v>10.018250000000002</v>
      </c>
      <c r="F91" s="378">
        <v>3.33</v>
      </c>
      <c r="G91" s="377">
        <f aca="true" t="shared" si="78" ref="G91:G120">SUM(H91:W91)</f>
        <v>5.781500000000001</v>
      </c>
      <c r="H91" s="377">
        <v>0.7</v>
      </c>
      <c r="I91" s="379">
        <v>0.7</v>
      </c>
      <c r="J91" s="377"/>
      <c r="K91" s="377">
        <f t="shared" si="74"/>
        <v>2.015</v>
      </c>
      <c r="L91" s="377"/>
      <c r="M91" s="377"/>
      <c r="N91" s="377"/>
      <c r="O91" s="380">
        <f t="shared" si="75"/>
        <v>1.0075</v>
      </c>
      <c r="P91" s="377"/>
      <c r="Q91" s="377"/>
      <c r="R91" s="377"/>
      <c r="S91" s="381"/>
      <c r="T91" s="377">
        <f t="shared" si="76"/>
        <v>1.209</v>
      </c>
      <c r="U91" s="377"/>
      <c r="V91" s="377"/>
      <c r="W91" s="377">
        <v>0.15</v>
      </c>
      <c r="X91" s="377">
        <f>(F91+I91+J91)*22.5%</f>
        <v>0.9067500000000001</v>
      </c>
      <c r="Y91" s="382">
        <f aca="true" t="shared" si="79" ref="Y91:Y120">E91*1490000*12</f>
        <v>179126310.00000006</v>
      </c>
      <c r="Z91" s="370"/>
      <c r="AA91" s="370">
        <f>AB91+AC91+AS91</f>
        <v>5.4597500000000005</v>
      </c>
      <c r="AB91" s="371">
        <v>2.41</v>
      </c>
      <c r="AC91" s="370">
        <f>SUM(AD91:AQ91)</f>
        <v>2.5075000000000003</v>
      </c>
      <c r="AD91" s="371">
        <v>0.7</v>
      </c>
      <c r="AE91" s="370"/>
      <c r="AF91" s="370"/>
      <c r="AG91" s="372">
        <f>(AB91+AE91)*0.5</f>
        <v>1.205</v>
      </c>
      <c r="AH91" s="370"/>
      <c r="AI91" s="370"/>
      <c r="AJ91" s="370"/>
      <c r="AK91" s="373">
        <f>0.25*(AB91+AE91)</f>
        <v>0.6025</v>
      </c>
      <c r="AL91" s="370"/>
      <c r="AM91" s="370"/>
      <c r="AN91" s="370"/>
      <c r="AO91" s="370"/>
      <c r="AP91" s="370"/>
      <c r="AQ91" s="370"/>
      <c r="AR91" s="370"/>
      <c r="AS91" s="473">
        <f>(AB91+AE91)*22.5%</f>
        <v>0.54225</v>
      </c>
      <c r="AT91" s="374">
        <f>AA91*12*1490000</f>
        <v>97620330.00000001</v>
      </c>
      <c r="AU91" s="24"/>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row>
    <row r="92" spans="1:75" ht="15.75">
      <c r="A92" s="376">
        <v>3</v>
      </c>
      <c r="B92" s="16" t="s">
        <v>50</v>
      </c>
      <c r="C92" s="447"/>
      <c r="D92" s="447"/>
      <c r="E92" s="377">
        <f t="shared" si="77"/>
        <v>15.9462</v>
      </c>
      <c r="F92" s="378">
        <v>5.76</v>
      </c>
      <c r="G92" s="377">
        <f t="shared" si="78"/>
        <v>8.639999999999999</v>
      </c>
      <c r="H92" s="377">
        <v>0.7</v>
      </c>
      <c r="I92" s="379">
        <v>0.6</v>
      </c>
      <c r="J92" s="377"/>
      <c r="K92" s="377">
        <f t="shared" si="74"/>
        <v>3.1799999999999997</v>
      </c>
      <c r="L92" s="377"/>
      <c r="M92" s="377">
        <v>0.512</v>
      </c>
      <c r="N92" s="377"/>
      <c r="O92" s="380">
        <f>(F92+I92+J92)*25%</f>
        <v>1.5899999999999999</v>
      </c>
      <c r="P92" s="377"/>
      <c r="Q92" s="377"/>
      <c r="R92" s="377"/>
      <c r="S92" s="381"/>
      <c r="T92" s="377">
        <f t="shared" si="76"/>
        <v>1.9079999999999997</v>
      </c>
      <c r="U92" s="377"/>
      <c r="V92" s="377"/>
      <c r="W92" s="377">
        <v>0.15</v>
      </c>
      <c r="X92" s="377">
        <f>(F92+I92+J92+M92)*22.5%</f>
        <v>1.5462</v>
      </c>
      <c r="Y92" s="382">
        <f t="shared" si="79"/>
        <v>285118056</v>
      </c>
      <c r="Z92" s="383"/>
      <c r="AA92" s="370">
        <f>AB92+AC92+AS92</f>
        <v>7.27675</v>
      </c>
      <c r="AB92" s="371">
        <v>3.33</v>
      </c>
      <c r="AC92" s="370">
        <f>SUM(AD92:AQ92)</f>
        <v>3.1975000000000002</v>
      </c>
      <c r="AD92" s="371">
        <v>0.7</v>
      </c>
      <c r="AE92" s="383"/>
      <c r="AF92" s="383"/>
      <c r="AG92" s="372">
        <f>(AB92+AE92)*0.5</f>
        <v>1.665</v>
      </c>
      <c r="AH92" s="383"/>
      <c r="AI92" s="383"/>
      <c r="AJ92" s="383"/>
      <c r="AK92" s="373">
        <f>0.25*(AB92+AE92)</f>
        <v>0.8325</v>
      </c>
      <c r="AL92" s="383"/>
      <c r="AM92" s="383"/>
      <c r="AN92" s="383"/>
      <c r="AO92" s="383"/>
      <c r="AP92" s="383"/>
      <c r="AQ92" s="383"/>
      <c r="AR92" s="383"/>
      <c r="AS92" s="473">
        <f>(AB92+AE92)*22.5%</f>
        <v>0.7492500000000001</v>
      </c>
      <c r="AT92" s="374">
        <f>AA92*12*1490000</f>
        <v>130108290</v>
      </c>
      <c r="AU92" s="24"/>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row>
    <row r="93" spans="1:75" ht="15.75">
      <c r="A93" s="376">
        <v>4</v>
      </c>
      <c r="B93" s="16" t="s">
        <v>121</v>
      </c>
      <c r="C93" s="447"/>
      <c r="D93" s="447"/>
      <c r="E93" s="377">
        <f t="shared" si="77"/>
        <v>10.255</v>
      </c>
      <c r="F93" s="378">
        <v>3.66</v>
      </c>
      <c r="G93" s="377">
        <f t="shared" si="78"/>
        <v>5.704</v>
      </c>
      <c r="H93" s="377">
        <v>0.7</v>
      </c>
      <c r="I93" s="379">
        <v>0.3</v>
      </c>
      <c r="J93" s="377"/>
      <c r="K93" s="377">
        <f t="shared" si="74"/>
        <v>1.98</v>
      </c>
      <c r="L93" s="377"/>
      <c r="M93" s="377"/>
      <c r="N93" s="377"/>
      <c r="O93" s="380">
        <f t="shared" si="75"/>
        <v>0.99</v>
      </c>
      <c r="P93" s="377"/>
      <c r="Q93" s="377"/>
      <c r="R93" s="377"/>
      <c r="S93" s="381"/>
      <c r="T93" s="377">
        <f t="shared" si="76"/>
        <v>1.188</v>
      </c>
      <c r="U93" s="377"/>
      <c r="V93" s="377">
        <f>(F93+I93+J93)*10%</f>
        <v>0.396</v>
      </c>
      <c r="W93" s="377">
        <v>0.15</v>
      </c>
      <c r="X93" s="377">
        <f>(F93+I93+J93)*22.5%</f>
        <v>0.891</v>
      </c>
      <c r="Y93" s="382">
        <f t="shared" si="79"/>
        <v>183359400.00000003</v>
      </c>
      <c r="Z93" s="343"/>
      <c r="AA93" s="343">
        <f>AA94+AA130+AA136+AA139+AA143+AA145</f>
        <v>414.48494999999997</v>
      </c>
      <c r="AB93" s="343">
        <f aca="true" t="shared" si="80" ref="AB93:AT93">AB94+AB130+AB136+AB139+AB143+AB145</f>
        <v>167.75000000000003</v>
      </c>
      <c r="AC93" s="343">
        <f t="shared" si="80"/>
        <v>206.96349999999995</v>
      </c>
      <c r="AD93" s="343">
        <f t="shared" si="80"/>
        <v>30.099999999999987</v>
      </c>
      <c r="AE93" s="343">
        <f t="shared" si="80"/>
        <v>8.5</v>
      </c>
      <c r="AF93" s="343">
        <f t="shared" si="80"/>
        <v>0</v>
      </c>
      <c r="AG93" s="343">
        <f t="shared" si="80"/>
        <v>76.42500000000001</v>
      </c>
      <c r="AH93" s="343">
        <f t="shared" si="80"/>
        <v>0</v>
      </c>
      <c r="AI93" s="343">
        <f t="shared" si="80"/>
        <v>0.512</v>
      </c>
      <c r="AJ93" s="343">
        <f t="shared" si="80"/>
        <v>0</v>
      </c>
      <c r="AK93" s="343">
        <f t="shared" si="80"/>
        <v>38.212500000000006</v>
      </c>
      <c r="AL93" s="343">
        <f t="shared" si="80"/>
        <v>0</v>
      </c>
      <c r="AM93" s="343">
        <f t="shared" si="80"/>
        <v>0</v>
      </c>
      <c r="AN93" s="343">
        <f t="shared" si="80"/>
        <v>0</v>
      </c>
      <c r="AO93" s="343">
        <f t="shared" si="80"/>
        <v>0</v>
      </c>
      <c r="AP93" s="343">
        <f t="shared" si="80"/>
        <v>45.85499999999999</v>
      </c>
      <c r="AQ93" s="343">
        <f t="shared" si="80"/>
        <v>1.7990000000000004</v>
      </c>
      <c r="AR93" s="343">
        <f t="shared" si="80"/>
        <v>5.5600000000000005</v>
      </c>
      <c r="AS93" s="466">
        <f t="shared" si="80"/>
        <v>39.77145000000001</v>
      </c>
      <c r="AT93" s="369">
        <f t="shared" si="80"/>
        <v>6684386073.5</v>
      </c>
      <c r="AU93" s="24"/>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row>
    <row r="94" spans="1:75" ht="15.75">
      <c r="A94" s="376">
        <v>5</v>
      </c>
      <c r="B94" s="16" t="s">
        <v>30</v>
      </c>
      <c r="C94" s="447"/>
      <c r="D94" s="447"/>
      <c r="E94" s="377">
        <f t="shared" si="77"/>
        <v>11.5425</v>
      </c>
      <c r="F94" s="378">
        <v>4.4</v>
      </c>
      <c r="G94" s="377">
        <f t="shared" si="78"/>
        <v>6.085000000000001</v>
      </c>
      <c r="H94" s="377">
        <v>0.7</v>
      </c>
      <c r="I94" s="379">
        <v>0.3</v>
      </c>
      <c r="J94" s="377"/>
      <c r="K94" s="377">
        <f t="shared" si="74"/>
        <v>2.35</v>
      </c>
      <c r="L94" s="377"/>
      <c r="M94" s="377"/>
      <c r="N94" s="377"/>
      <c r="O94" s="380">
        <f t="shared" si="75"/>
        <v>1.175</v>
      </c>
      <c r="P94" s="377"/>
      <c r="Q94" s="377"/>
      <c r="R94" s="377"/>
      <c r="S94" s="381"/>
      <c r="T94" s="377">
        <f t="shared" si="76"/>
        <v>1.41</v>
      </c>
      <c r="U94" s="377"/>
      <c r="V94" s="377"/>
      <c r="W94" s="377">
        <v>0.15</v>
      </c>
      <c r="X94" s="377">
        <f aca="true" t="shared" si="81" ref="X94:X117">(F94+I94+J94)*22.5%</f>
        <v>1.0575</v>
      </c>
      <c r="Y94" s="382">
        <f t="shared" si="79"/>
        <v>206379900</v>
      </c>
      <c r="Z94" s="343"/>
      <c r="AA94" s="343">
        <f>AA95</f>
        <v>297.82019999999994</v>
      </c>
      <c r="AB94" s="343">
        <f aca="true" t="shared" si="82" ref="AB94:AT94">AB95</f>
        <v>120.59000000000003</v>
      </c>
      <c r="AC94" s="343">
        <f t="shared" si="82"/>
        <v>148.71099999999998</v>
      </c>
      <c r="AD94" s="343">
        <f t="shared" si="82"/>
        <v>21.69999999999999</v>
      </c>
      <c r="AE94" s="343">
        <f t="shared" si="82"/>
        <v>5.65</v>
      </c>
      <c r="AF94" s="343">
        <f t="shared" si="82"/>
        <v>0</v>
      </c>
      <c r="AG94" s="343">
        <f t="shared" si="82"/>
        <v>54.93000000000001</v>
      </c>
      <c r="AH94" s="343">
        <f t="shared" si="82"/>
        <v>0</v>
      </c>
      <c r="AI94" s="343">
        <f t="shared" si="82"/>
        <v>0.512</v>
      </c>
      <c r="AJ94" s="343">
        <f t="shared" si="82"/>
        <v>0</v>
      </c>
      <c r="AK94" s="343">
        <f t="shared" si="82"/>
        <v>27.465000000000003</v>
      </c>
      <c r="AL94" s="343">
        <f t="shared" si="82"/>
        <v>0</v>
      </c>
      <c r="AM94" s="343">
        <f t="shared" si="82"/>
        <v>0</v>
      </c>
      <c r="AN94" s="343">
        <f t="shared" si="82"/>
        <v>0</v>
      </c>
      <c r="AO94" s="343">
        <f t="shared" si="82"/>
        <v>0</v>
      </c>
      <c r="AP94" s="343">
        <f t="shared" si="82"/>
        <v>32.957999999999984</v>
      </c>
      <c r="AQ94" s="343">
        <f t="shared" si="82"/>
        <v>0.396</v>
      </c>
      <c r="AR94" s="343">
        <f t="shared" si="82"/>
        <v>5.1000000000000005</v>
      </c>
      <c r="AS94" s="466">
        <f t="shared" si="82"/>
        <v>28.51920000000001</v>
      </c>
      <c r="AT94" s="369">
        <f t="shared" si="82"/>
        <v>5009025976</v>
      </c>
      <c r="AU94" s="24"/>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row>
    <row r="95" spans="1:75" ht="15.75">
      <c r="A95" s="376">
        <v>6</v>
      </c>
      <c r="B95" s="16" t="s">
        <v>120</v>
      </c>
      <c r="C95" s="447"/>
      <c r="D95" s="447"/>
      <c r="E95" s="377">
        <f t="shared" si="77"/>
        <v>5.6274999999999995</v>
      </c>
      <c r="F95" s="378">
        <v>2.1</v>
      </c>
      <c r="G95" s="377">
        <f t="shared" si="78"/>
        <v>3.0549999999999997</v>
      </c>
      <c r="H95" s="377">
        <v>0.7</v>
      </c>
      <c r="I95" s="379"/>
      <c r="J95" s="377"/>
      <c r="K95" s="377">
        <f t="shared" si="74"/>
        <v>1.05</v>
      </c>
      <c r="L95" s="377"/>
      <c r="M95" s="377"/>
      <c r="N95" s="377"/>
      <c r="O95" s="380">
        <f t="shared" si="75"/>
        <v>0.525</v>
      </c>
      <c r="P95" s="377"/>
      <c r="Q95" s="377"/>
      <c r="R95" s="377"/>
      <c r="S95" s="381"/>
      <c r="T95" s="377">
        <f t="shared" si="76"/>
        <v>0.63</v>
      </c>
      <c r="U95" s="377"/>
      <c r="V95" s="377"/>
      <c r="W95" s="377">
        <v>0.15</v>
      </c>
      <c r="X95" s="377">
        <f t="shared" si="81"/>
        <v>0.47250000000000003</v>
      </c>
      <c r="Y95" s="382">
        <f t="shared" si="79"/>
        <v>100619699.99999999</v>
      </c>
      <c r="Z95" s="384"/>
      <c r="AA95" s="343">
        <f>SUM(AA96:AA129,)</f>
        <v>297.82019999999994</v>
      </c>
      <c r="AB95" s="343">
        <f aca="true" t="shared" si="83" ref="AB95:AS95">SUM(AB96:AB129,)</f>
        <v>120.59000000000003</v>
      </c>
      <c r="AC95" s="343">
        <f t="shared" si="83"/>
        <v>148.71099999999998</v>
      </c>
      <c r="AD95" s="343">
        <f t="shared" si="83"/>
        <v>21.69999999999999</v>
      </c>
      <c r="AE95" s="343">
        <f t="shared" si="83"/>
        <v>5.65</v>
      </c>
      <c r="AF95" s="343">
        <f t="shared" si="83"/>
        <v>0</v>
      </c>
      <c r="AG95" s="343">
        <f t="shared" si="83"/>
        <v>54.93000000000001</v>
      </c>
      <c r="AH95" s="343">
        <f t="shared" si="83"/>
        <v>0</v>
      </c>
      <c r="AI95" s="343">
        <f t="shared" si="83"/>
        <v>0.512</v>
      </c>
      <c r="AJ95" s="343">
        <f t="shared" si="83"/>
        <v>0</v>
      </c>
      <c r="AK95" s="343">
        <f t="shared" si="83"/>
        <v>27.465000000000003</v>
      </c>
      <c r="AL95" s="343">
        <f t="shared" si="83"/>
        <v>0</v>
      </c>
      <c r="AM95" s="343">
        <f t="shared" si="83"/>
        <v>0</v>
      </c>
      <c r="AN95" s="343">
        <f t="shared" si="83"/>
        <v>0</v>
      </c>
      <c r="AO95" s="343">
        <f t="shared" si="83"/>
        <v>0</v>
      </c>
      <c r="AP95" s="343">
        <f t="shared" si="83"/>
        <v>32.957999999999984</v>
      </c>
      <c r="AQ95" s="343">
        <f t="shared" si="83"/>
        <v>0.396</v>
      </c>
      <c r="AR95" s="343">
        <f t="shared" si="83"/>
        <v>5.1000000000000005</v>
      </c>
      <c r="AS95" s="466">
        <f t="shared" si="83"/>
        <v>28.51920000000001</v>
      </c>
      <c r="AT95" s="369">
        <f>SUM(AT96:AT129,)</f>
        <v>5009025976</v>
      </c>
      <c r="AU95" s="24"/>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row>
    <row r="96" spans="1:75" ht="15.75">
      <c r="A96" s="376">
        <v>7</v>
      </c>
      <c r="B96" s="16" t="s">
        <v>119</v>
      </c>
      <c r="C96" s="447"/>
      <c r="D96" s="447"/>
      <c r="E96" s="377">
        <f t="shared" si="77"/>
        <v>10.678</v>
      </c>
      <c r="F96" s="378">
        <v>4.32</v>
      </c>
      <c r="G96" s="377">
        <f t="shared" si="78"/>
        <v>5.386000000000001</v>
      </c>
      <c r="H96" s="377">
        <v>0.7</v>
      </c>
      <c r="I96" s="379"/>
      <c r="J96" s="377"/>
      <c r="K96" s="377">
        <f t="shared" si="74"/>
        <v>2.16</v>
      </c>
      <c r="L96" s="377"/>
      <c r="M96" s="377"/>
      <c r="N96" s="377"/>
      <c r="O96" s="380">
        <f t="shared" si="75"/>
        <v>1.08</v>
      </c>
      <c r="P96" s="377"/>
      <c r="Q96" s="377"/>
      <c r="R96" s="377"/>
      <c r="S96" s="381"/>
      <c r="T96" s="377">
        <f t="shared" si="76"/>
        <v>1.296</v>
      </c>
      <c r="U96" s="377"/>
      <c r="V96" s="377"/>
      <c r="W96" s="377">
        <v>0.15</v>
      </c>
      <c r="X96" s="377">
        <f t="shared" si="81"/>
        <v>0.9720000000000001</v>
      </c>
      <c r="Y96" s="382">
        <f t="shared" si="79"/>
        <v>190922640.00000003</v>
      </c>
      <c r="Z96" s="384"/>
      <c r="AA96" s="346">
        <f>AB96+AC96+AS96</f>
        <v>13.4535</v>
      </c>
      <c r="AB96" s="385">
        <v>4.74</v>
      </c>
      <c r="AC96" s="346">
        <f>SUM(AD96:AR96)</f>
        <v>7.467</v>
      </c>
      <c r="AD96" s="346">
        <v>0.7</v>
      </c>
      <c r="AE96" s="386">
        <v>0.8</v>
      </c>
      <c r="AF96" s="346"/>
      <c r="AG96" s="346">
        <f>(AB96+AE96+AF96)*50%</f>
        <v>2.77</v>
      </c>
      <c r="AH96" s="346"/>
      <c r="AI96" s="346"/>
      <c r="AJ96" s="346"/>
      <c r="AK96" s="387">
        <f>(AB96+AE96+AF96)*25%</f>
        <v>1.385</v>
      </c>
      <c r="AL96" s="346"/>
      <c r="AM96" s="346"/>
      <c r="AN96" s="346"/>
      <c r="AO96" s="349"/>
      <c r="AP96" s="346">
        <f>(AB96+AE96+AF96)*30%</f>
        <v>1.662</v>
      </c>
      <c r="AQ96" s="348"/>
      <c r="AR96" s="346">
        <v>0.15</v>
      </c>
      <c r="AS96" s="472">
        <f>(AB96+AE96)*22.5%</f>
        <v>1.2465</v>
      </c>
      <c r="AT96" s="314">
        <f>AA96*1490000*12</f>
        <v>240548580</v>
      </c>
      <c r="AU96" s="24"/>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row>
    <row r="97" spans="1:75" ht="15.75">
      <c r="A97" s="376">
        <v>8</v>
      </c>
      <c r="B97" s="16" t="s">
        <v>118</v>
      </c>
      <c r="C97" s="447"/>
      <c r="D97" s="447"/>
      <c r="E97" s="377">
        <f t="shared" si="77"/>
        <v>6.4464999999999995</v>
      </c>
      <c r="F97" s="378">
        <v>2.46</v>
      </c>
      <c r="G97" s="377">
        <f t="shared" si="78"/>
        <v>3.433</v>
      </c>
      <c r="H97" s="377">
        <v>0.7</v>
      </c>
      <c r="I97" s="379"/>
      <c r="J97" s="377"/>
      <c r="K97" s="377">
        <f t="shared" si="74"/>
        <v>1.23</v>
      </c>
      <c r="L97" s="377"/>
      <c r="M97" s="377"/>
      <c r="N97" s="377"/>
      <c r="O97" s="380">
        <f t="shared" si="75"/>
        <v>0.615</v>
      </c>
      <c r="P97" s="377"/>
      <c r="Q97" s="377"/>
      <c r="R97" s="377"/>
      <c r="S97" s="381"/>
      <c r="T97" s="377">
        <f t="shared" si="76"/>
        <v>0.738</v>
      </c>
      <c r="U97" s="377"/>
      <c r="V97" s="377"/>
      <c r="W97" s="377">
        <v>0.15</v>
      </c>
      <c r="X97" s="377">
        <f t="shared" si="81"/>
        <v>0.5535</v>
      </c>
      <c r="Y97" s="382">
        <f t="shared" si="79"/>
        <v>115263420</v>
      </c>
      <c r="Z97" s="343"/>
      <c r="AA97" s="346">
        <f>AB97+AC97+AS97</f>
        <v>10.018250000000002</v>
      </c>
      <c r="AB97" s="385">
        <v>3.33</v>
      </c>
      <c r="AC97" s="346">
        <f aca="true" t="shared" si="84" ref="AC97:AC128">SUM(AD97:AR97)</f>
        <v>5.781500000000001</v>
      </c>
      <c r="AD97" s="346">
        <v>0.7</v>
      </c>
      <c r="AE97" s="386">
        <v>0.7</v>
      </c>
      <c r="AF97" s="346"/>
      <c r="AG97" s="346">
        <f aca="true" t="shared" si="85" ref="AG97:AG124">(AB97+AE97+AF97)*50%</f>
        <v>2.015</v>
      </c>
      <c r="AH97" s="346"/>
      <c r="AI97" s="346"/>
      <c r="AJ97" s="346"/>
      <c r="AK97" s="387">
        <f aca="true" t="shared" si="86" ref="AK97:AK124">(AB97+AE97+AF97)*25%</f>
        <v>1.0075</v>
      </c>
      <c r="AL97" s="346"/>
      <c r="AM97" s="346"/>
      <c r="AN97" s="346"/>
      <c r="AO97" s="349"/>
      <c r="AP97" s="346">
        <f aca="true" t="shared" si="87" ref="AP97:AP126">(AB97+AE97+AF97)*30%</f>
        <v>1.209</v>
      </c>
      <c r="AQ97" s="343">
        <f>AQ98</f>
        <v>0</v>
      </c>
      <c r="AR97" s="346">
        <v>0.15</v>
      </c>
      <c r="AS97" s="472">
        <f aca="true" t="shared" si="88" ref="AS97:AS128">(AB97+AE97)*22.5%</f>
        <v>0.9067500000000001</v>
      </c>
      <c r="AT97" s="314">
        <f aca="true" t="shared" si="89" ref="AT97:AT128">AA97*1490000*12</f>
        <v>179126310.00000006</v>
      </c>
      <c r="AU97" s="24"/>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row>
    <row r="98" spans="1:75" ht="15.75">
      <c r="A98" s="376">
        <v>9</v>
      </c>
      <c r="B98" s="16" t="s">
        <v>49</v>
      </c>
      <c r="C98" s="447"/>
      <c r="D98" s="447"/>
      <c r="E98" s="377">
        <f t="shared" si="77"/>
        <v>13.772</v>
      </c>
      <c r="F98" s="378">
        <v>5.08</v>
      </c>
      <c r="G98" s="377">
        <f t="shared" si="78"/>
        <v>7.414</v>
      </c>
      <c r="H98" s="377">
        <v>0.7</v>
      </c>
      <c r="I98" s="379">
        <v>0.6</v>
      </c>
      <c r="J98" s="377"/>
      <c r="K98" s="377">
        <f t="shared" si="74"/>
        <v>2.84</v>
      </c>
      <c r="L98" s="377"/>
      <c r="M98" s="377"/>
      <c r="N98" s="377"/>
      <c r="O98" s="380">
        <f t="shared" si="75"/>
        <v>1.42</v>
      </c>
      <c r="P98" s="377"/>
      <c r="Q98" s="377"/>
      <c r="R98" s="377"/>
      <c r="S98" s="381"/>
      <c r="T98" s="377">
        <f t="shared" si="76"/>
        <v>1.704</v>
      </c>
      <c r="U98" s="377"/>
      <c r="V98" s="377"/>
      <c r="W98" s="377">
        <v>0.15</v>
      </c>
      <c r="X98" s="377">
        <f t="shared" si="81"/>
        <v>1.278</v>
      </c>
      <c r="Y98" s="382">
        <f t="shared" si="79"/>
        <v>246243360</v>
      </c>
      <c r="Z98" s="348"/>
      <c r="AA98" s="346">
        <f>AB98+AC98+AS98</f>
        <v>15.9462</v>
      </c>
      <c r="AB98" s="385">
        <v>5.76</v>
      </c>
      <c r="AC98" s="346">
        <f t="shared" si="84"/>
        <v>8.639999999999999</v>
      </c>
      <c r="AD98" s="346">
        <v>0.7</v>
      </c>
      <c r="AE98" s="386">
        <v>0.6</v>
      </c>
      <c r="AF98" s="346"/>
      <c r="AG98" s="346">
        <f t="shared" si="85"/>
        <v>3.1799999999999997</v>
      </c>
      <c r="AH98" s="346"/>
      <c r="AI98" s="346">
        <v>0.512</v>
      </c>
      <c r="AJ98" s="346"/>
      <c r="AK98" s="387">
        <f t="shared" si="86"/>
        <v>1.5899999999999999</v>
      </c>
      <c r="AL98" s="346"/>
      <c r="AM98" s="346"/>
      <c r="AN98" s="346"/>
      <c r="AO98" s="349"/>
      <c r="AP98" s="346">
        <f t="shared" si="87"/>
        <v>1.9079999999999997</v>
      </c>
      <c r="AQ98" s="348"/>
      <c r="AR98" s="346">
        <v>0.15</v>
      </c>
      <c r="AS98" s="472">
        <f>(AB98+AE98+AI98)*22.5%</f>
        <v>1.5462</v>
      </c>
      <c r="AT98" s="314">
        <f>AA98*1490000*12</f>
        <v>285118056</v>
      </c>
      <c r="AU98" s="24"/>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row>
    <row r="99" spans="1:75" ht="15.75">
      <c r="A99" s="376">
        <v>10</v>
      </c>
      <c r="B99" s="16" t="s">
        <v>117</v>
      </c>
      <c r="C99" s="447"/>
      <c r="D99" s="447"/>
      <c r="E99" s="377">
        <f t="shared" si="77"/>
        <v>10.582250000000002</v>
      </c>
      <c r="F99" s="378">
        <v>3.99</v>
      </c>
      <c r="G99" s="377">
        <f t="shared" si="78"/>
        <v>5.649500000000001</v>
      </c>
      <c r="H99" s="377">
        <v>0.7</v>
      </c>
      <c r="I99" s="379">
        <v>0.2</v>
      </c>
      <c r="J99" s="377"/>
      <c r="K99" s="377">
        <f t="shared" si="74"/>
        <v>2.095</v>
      </c>
      <c r="L99" s="377"/>
      <c r="M99" s="377"/>
      <c r="N99" s="377"/>
      <c r="O99" s="380">
        <f t="shared" si="75"/>
        <v>1.0475</v>
      </c>
      <c r="P99" s="377"/>
      <c r="Q99" s="377"/>
      <c r="R99" s="377"/>
      <c r="S99" s="381"/>
      <c r="T99" s="377">
        <f t="shared" si="76"/>
        <v>1.2570000000000001</v>
      </c>
      <c r="U99" s="377">
        <v>0.2</v>
      </c>
      <c r="V99" s="377"/>
      <c r="W99" s="377">
        <v>0.15</v>
      </c>
      <c r="X99" s="377">
        <f t="shared" si="81"/>
        <v>0.9427500000000001</v>
      </c>
      <c r="Y99" s="382">
        <f t="shared" si="79"/>
        <v>189210630.00000006</v>
      </c>
      <c r="Z99" s="343"/>
      <c r="AA99" s="346">
        <f>AB99+AC99+AS99</f>
        <v>10.255</v>
      </c>
      <c r="AB99" s="385">
        <v>3.66</v>
      </c>
      <c r="AC99" s="346">
        <f>SUM(AD99:AR99)</f>
        <v>5.704</v>
      </c>
      <c r="AD99" s="346">
        <v>0.7</v>
      </c>
      <c r="AE99" s="386">
        <v>0.3</v>
      </c>
      <c r="AF99" s="346"/>
      <c r="AG99" s="346">
        <f t="shared" si="85"/>
        <v>1.98</v>
      </c>
      <c r="AH99" s="346"/>
      <c r="AI99" s="346"/>
      <c r="AJ99" s="346"/>
      <c r="AK99" s="387">
        <f t="shared" si="86"/>
        <v>0.99</v>
      </c>
      <c r="AL99" s="346"/>
      <c r="AM99" s="346"/>
      <c r="AN99" s="346"/>
      <c r="AO99" s="349"/>
      <c r="AP99" s="346">
        <f t="shared" si="87"/>
        <v>1.188</v>
      </c>
      <c r="AQ99" s="348">
        <f>(AB99+AE99)*10%</f>
        <v>0.396</v>
      </c>
      <c r="AR99" s="346">
        <v>0.15</v>
      </c>
      <c r="AS99" s="472">
        <f t="shared" si="88"/>
        <v>0.891</v>
      </c>
      <c r="AT99" s="314">
        <f t="shared" si="89"/>
        <v>183359400.00000003</v>
      </c>
      <c r="AU99" s="24"/>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row>
    <row r="100" spans="1:75" ht="15.75">
      <c r="A100" s="376">
        <v>11</v>
      </c>
      <c r="B100" s="16" t="s">
        <v>116</v>
      </c>
      <c r="C100" s="447"/>
      <c r="D100" s="447"/>
      <c r="E100" s="377">
        <f t="shared" si="77"/>
        <v>9.631500000000003</v>
      </c>
      <c r="F100" s="378">
        <v>3.66</v>
      </c>
      <c r="G100" s="377">
        <f t="shared" si="78"/>
        <v>5.103000000000001</v>
      </c>
      <c r="H100" s="377">
        <v>0.7</v>
      </c>
      <c r="I100" s="379">
        <v>0.2</v>
      </c>
      <c r="J100" s="377"/>
      <c r="K100" s="377">
        <f t="shared" si="74"/>
        <v>1.9300000000000002</v>
      </c>
      <c r="L100" s="377"/>
      <c r="M100" s="377"/>
      <c r="N100" s="377"/>
      <c r="O100" s="380">
        <f t="shared" si="75"/>
        <v>0.9650000000000001</v>
      </c>
      <c r="P100" s="377"/>
      <c r="Q100" s="377"/>
      <c r="R100" s="377"/>
      <c r="S100" s="381"/>
      <c r="T100" s="377">
        <f t="shared" si="76"/>
        <v>1.1580000000000001</v>
      </c>
      <c r="U100" s="377"/>
      <c r="V100" s="377"/>
      <c r="W100" s="377">
        <v>0.15</v>
      </c>
      <c r="X100" s="377">
        <f t="shared" si="81"/>
        <v>0.8685</v>
      </c>
      <c r="Y100" s="382">
        <f t="shared" si="79"/>
        <v>172211220.00000006</v>
      </c>
      <c r="Z100" s="343"/>
      <c r="AA100" s="346">
        <f aca="true" t="shared" si="90" ref="AA100:AA128">AB100+AC100+AS100</f>
        <v>11.5425</v>
      </c>
      <c r="AB100" s="385">
        <v>4.4</v>
      </c>
      <c r="AC100" s="346">
        <f t="shared" si="84"/>
        <v>6.085000000000001</v>
      </c>
      <c r="AD100" s="346">
        <v>0.7</v>
      </c>
      <c r="AE100" s="386">
        <v>0.3</v>
      </c>
      <c r="AF100" s="346"/>
      <c r="AG100" s="346">
        <f t="shared" si="85"/>
        <v>2.35</v>
      </c>
      <c r="AH100" s="346"/>
      <c r="AI100" s="346"/>
      <c r="AJ100" s="346"/>
      <c r="AK100" s="387">
        <f t="shared" si="86"/>
        <v>1.175</v>
      </c>
      <c r="AL100" s="346"/>
      <c r="AM100" s="346"/>
      <c r="AN100" s="346"/>
      <c r="AO100" s="349"/>
      <c r="AP100" s="346">
        <f t="shared" si="87"/>
        <v>1.41</v>
      </c>
      <c r="AQ100" s="343"/>
      <c r="AR100" s="346">
        <v>0.15</v>
      </c>
      <c r="AS100" s="472">
        <f t="shared" si="88"/>
        <v>1.0575</v>
      </c>
      <c r="AT100" s="314">
        <f t="shared" si="89"/>
        <v>206379900</v>
      </c>
      <c r="AU100" s="24"/>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row>
    <row r="101" spans="1:75" ht="15.75">
      <c r="A101" s="376">
        <v>12</v>
      </c>
      <c r="B101" s="16" t="s">
        <v>39</v>
      </c>
      <c r="C101" s="447"/>
      <c r="D101" s="447"/>
      <c r="E101" s="377">
        <f t="shared" si="77"/>
        <v>10.496000000000002</v>
      </c>
      <c r="F101" s="378">
        <v>3.99</v>
      </c>
      <c r="G101" s="377">
        <f t="shared" si="78"/>
        <v>5.552000000000001</v>
      </c>
      <c r="H101" s="377">
        <v>0.7</v>
      </c>
      <c r="I101" s="379">
        <v>0.25</v>
      </c>
      <c r="J101" s="377"/>
      <c r="K101" s="377">
        <f t="shared" si="74"/>
        <v>2.12</v>
      </c>
      <c r="L101" s="377"/>
      <c r="M101" s="377"/>
      <c r="N101" s="377"/>
      <c r="O101" s="380">
        <f t="shared" si="75"/>
        <v>1.06</v>
      </c>
      <c r="P101" s="377"/>
      <c r="Q101" s="377"/>
      <c r="R101" s="377"/>
      <c r="S101" s="381"/>
      <c r="T101" s="377">
        <f t="shared" si="76"/>
        <v>1.272</v>
      </c>
      <c r="U101" s="377"/>
      <c r="V101" s="377"/>
      <c r="W101" s="377">
        <v>0.15</v>
      </c>
      <c r="X101" s="377">
        <f t="shared" si="81"/>
        <v>0.9540000000000001</v>
      </c>
      <c r="Y101" s="382">
        <f t="shared" si="79"/>
        <v>187668480.00000006</v>
      </c>
      <c r="Z101" s="348"/>
      <c r="AA101" s="346">
        <f t="shared" si="90"/>
        <v>5.6274999999999995</v>
      </c>
      <c r="AB101" s="385">
        <v>2.1</v>
      </c>
      <c r="AC101" s="346">
        <f t="shared" si="84"/>
        <v>3.0549999999999997</v>
      </c>
      <c r="AD101" s="346">
        <v>0.7</v>
      </c>
      <c r="AE101" s="386"/>
      <c r="AF101" s="346"/>
      <c r="AG101" s="346">
        <f t="shared" si="85"/>
        <v>1.05</v>
      </c>
      <c r="AH101" s="346"/>
      <c r="AI101" s="346"/>
      <c r="AJ101" s="346"/>
      <c r="AK101" s="387">
        <f t="shared" si="86"/>
        <v>0.525</v>
      </c>
      <c r="AL101" s="346"/>
      <c r="AM101" s="346"/>
      <c r="AN101" s="346"/>
      <c r="AO101" s="349"/>
      <c r="AP101" s="346">
        <f t="shared" si="87"/>
        <v>0.63</v>
      </c>
      <c r="AQ101" s="348"/>
      <c r="AR101" s="346">
        <v>0.15</v>
      </c>
      <c r="AS101" s="472">
        <f t="shared" si="88"/>
        <v>0.47250000000000003</v>
      </c>
      <c r="AT101" s="314">
        <f t="shared" si="89"/>
        <v>100619699.99999999</v>
      </c>
      <c r="AU101" s="24"/>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row>
    <row r="102" spans="1:75" ht="15.75">
      <c r="A102" s="376">
        <v>13</v>
      </c>
      <c r="B102" s="16" t="s">
        <v>37</v>
      </c>
      <c r="C102" s="447"/>
      <c r="D102" s="447"/>
      <c r="E102" s="377">
        <f t="shared" si="77"/>
        <v>9.790750000000001</v>
      </c>
      <c r="F102" s="378">
        <v>3.33</v>
      </c>
      <c r="G102" s="377">
        <f t="shared" si="78"/>
        <v>5.5765</v>
      </c>
      <c r="H102" s="377">
        <v>0.7</v>
      </c>
      <c r="I102" s="379">
        <v>0.6</v>
      </c>
      <c r="J102" s="377"/>
      <c r="K102" s="377">
        <f t="shared" si="74"/>
        <v>1.965</v>
      </c>
      <c r="L102" s="377"/>
      <c r="M102" s="377"/>
      <c r="N102" s="377"/>
      <c r="O102" s="380">
        <f t="shared" si="75"/>
        <v>0.9825</v>
      </c>
      <c r="P102" s="377"/>
      <c r="Q102" s="377"/>
      <c r="R102" s="377"/>
      <c r="S102" s="381"/>
      <c r="T102" s="377">
        <f t="shared" si="76"/>
        <v>1.179</v>
      </c>
      <c r="U102" s="377"/>
      <c r="V102" s="377"/>
      <c r="W102" s="377">
        <v>0.15</v>
      </c>
      <c r="X102" s="377">
        <f t="shared" si="81"/>
        <v>0.8842500000000001</v>
      </c>
      <c r="Y102" s="382">
        <f t="shared" si="79"/>
        <v>175058610.00000003</v>
      </c>
      <c r="Z102" s="348"/>
      <c r="AA102" s="346">
        <f t="shared" si="90"/>
        <v>10.678</v>
      </c>
      <c r="AB102" s="385">
        <v>4.32</v>
      </c>
      <c r="AC102" s="346">
        <f t="shared" si="84"/>
        <v>5.386000000000001</v>
      </c>
      <c r="AD102" s="346">
        <v>0.7</v>
      </c>
      <c r="AE102" s="386"/>
      <c r="AF102" s="346"/>
      <c r="AG102" s="346">
        <f t="shared" si="85"/>
        <v>2.16</v>
      </c>
      <c r="AH102" s="346"/>
      <c r="AI102" s="346"/>
      <c r="AJ102" s="346"/>
      <c r="AK102" s="387">
        <f t="shared" si="86"/>
        <v>1.08</v>
      </c>
      <c r="AL102" s="346"/>
      <c r="AM102" s="346"/>
      <c r="AN102" s="346"/>
      <c r="AO102" s="349"/>
      <c r="AP102" s="346">
        <f t="shared" si="87"/>
        <v>1.296</v>
      </c>
      <c r="AQ102" s="348"/>
      <c r="AR102" s="346">
        <v>0.15</v>
      </c>
      <c r="AS102" s="472">
        <f t="shared" si="88"/>
        <v>0.9720000000000001</v>
      </c>
      <c r="AT102" s="314">
        <f t="shared" si="89"/>
        <v>190922640.00000003</v>
      </c>
      <c r="AU102" s="24"/>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row>
    <row r="103" spans="1:75" ht="15.75">
      <c r="A103" s="376">
        <v>14</v>
      </c>
      <c r="B103" s="16" t="s">
        <v>115</v>
      </c>
      <c r="C103" s="447"/>
      <c r="D103" s="447"/>
      <c r="E103" s="377">
        <f t="shared" si="77"/>
        <v>6.924249999999999</v>
      </c>
      <c r="F103" s="378">
        <v>2.67</v>
      </c>
      <c r="G103" s="377">
        <f t="shared" si="78"/>
        <v>3.6534999999999997</v>
      </c>
      <c r="H103" s="377">
        <v>0.7</v>
      </c>
      <c r="I103" s="379"/>
      <c r="J103" s="377"/>
      <c r="K103" s="377">
        <f t="shared" si="74"/>
        <v>1.335</v>
      </c>
      <c r="L103" s="377"/>
      <c r="M103" s="377"/>
      <c r="N103" s="377"/>
      <c r="O103" s="380">
        <f t="shared" si="75"/>
        <v>0.6675</v>
      </c>
      <c r="P103" s="377"/>
      <c r="Q103" s="377"/>
      <c r="R103" s="377"/>
      <c r="S103" s="381"/>
      <c r="T103" s="377">
        <f t="shared" si="76"/>
        <v>0.8009999999999999</v>
      </c>
      <c r="U103" s="377"/>
      <c r="V103" s="377"/>
      <c r="W103" s="377">
        <v>0.15</v>
      </c>
      <c r="X103" s="377">
        <f t="shared" si="81"/>
        <v>0.60075</v>
      </c>
      <c r="Y103" s="382">
        <f t="shared" si="79"/>
        <v>123805589.99999997</v>
      </c>
      <c r="Z103" s="348"/>
      <c r="AA103" s="346">
        <f>AB103+AC103+AS103</f>
        <v>6.4464999999999995</v>
      </c>
      <c r="AB103" s="385">
        <v>2.46</v>
      </c>
      <c r="AC103" s="346">
        <f t="shared" si="84"/>
        <v>3.433</v>
      </c>
      <c r="AD103" s="346">
        <v>0.7</v>
      </c>
      <c r="AE103" s="386"/>
      <c r="AF103" s="346"/>
      <c r="AG103" s="346">
        <f t="shared" si="85"/>
        <v>1.23</v>
      </c>
      <c r="AH103" s="346"/>
      <c r="AI103" s="346"/>
      <c r="AJ103" s="346"/>
      <c r="AK103" s="387">
        <f t="shared" si="86"/>
        <v>0.615</v>
      </c>
      <c r="AL103" s="346"/>
      <c r="AM103" s="346"/>
      <c r="AN103" s="346"/>
      <c r="AO103" s="349"/>
      <c r="AP103" s="346">
        <f t="shared" si="87"/>
        <v>0.738</v>
      </c>
      <c r="AQ103" s="348"/>
      <c r="AR103" s="346">
        <v>0.15</v>
      </c>
      <c r="AS103" s="472">
        <f t="shared" si="88"/>
        <v>0.5535</v>
      </c>
      <c r="AT103" s="314">
        <f t="shared" si="89"/>
        <v>115263420</v>
      </c>
      <c r="AU103" s="24"/>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row>
    <row r="104" spans="1:75" ht="15.75">
      <c r="A104" s="376">
        <v>15</v>
      </c>
      <c r="B104" s="16" t="s">
        <v>63</v>
      </c>
      <c r="C104" s="447"/>
      <c r="D104" s="447"/>
      <c r="E104" s="377">
        <f t="shared" si="77"/>
        <v>10.60975</v>
      </c>
      <c r="F104" s="378">
        <v>3.99</v>
      </c>
      <c r="G104" s="377">
        <f t="shared" si="78"/>
        <v>5.6545000000000005</v>
      </c>
      <c r="H104" s="377">
        <v>0.7</v>
      </c>
      <c r="I104" s="379">
        <v>0.3</v>
      </c>
      <c r="J104" s="377"/>
      <c r="K104" s="377">
        <f t="shared" si="74"/>
        <v>2.145</v>
      </c>
      <c r="L104" s="377"/>
      <c r="M104" s="377"/>
      <c r="N104" s="377"/>
      <c r="O104" s="380">
        <f t="shared" si="75"/>
        <v>1.0725</v>
      </c>
      <c r="P104" s="377"/>
      <c r="Q104" s="377"/>
      <c r="R104" s="377"/>
      <c r="S104" s="381"/>
      <c r="T104" s="377">
        <f t="shared" si="76"/>
        <v>1.287</v>
      </c>
      <c r="U104" s="377"/>
      <c r="V104" s="377"/>
      <c r="W104" s="377">
        <v>0.15</v>
      </c>
      <c r="X104" s="377">
        <f t="shared" si="81"/>
        <v>0.96525</v>
      </c>
      <c r="Y104" s="382">
        <f t="shared" si="79"/>
        <v>189702330</v>
      </c>
      <c r="Z104" s="348"/>
      <c r="AA104" s="346">
        <f t="shared" si="90"/>
        <v>13.772</v>
      </c>
      <c r="AB104" s="385">
        <v>5.08</v>
      </c>
      <c r="AC104" s="346">
        <f t="shared" si="84"/>
        <v>7.414</v>
      </c>
      <c r="AD104" s="346">
        <v>0.7</v>
      </c>
      <c r="AE104" s="386">
        <v>0.6</v>
      </c>
      <c r="AF104" s="346"/>
      <c r="AG104" s="346">
        <f t="shared" si="85"/>
        <v>2.84</v>
      </c>
      <c r="AH104" s="346"/>
      <c r="AI104" s="346"/>
      <c r="AJ104" s="346"/>
      <c r="AK104" s="387">
        <f t="shared" si="86"/>
        <v>1.42</v>
      </c>
      <c r="AL104" s="346"/>
      <c r="AM104" s="346"/>
      <c r="AN104" s="346"/>
      <c r="AO104" s="349"/>
      <c r="AP104" s="346">
        <f t="shared" si="87"/>
        <v>1.704</v>
      </c>
      <c r="AQ104" s="348"/>
      <c r="AR104" s="346">
        <v>0.15</v>
      </c>
      <c r="AS104" s="472">
        <f t="shared" si="88"/>
        <v>1.278</v>
      </c>
      <c r="AT104" s="314">
        <f t="shared" si="89"/>
        <v>246243360</v>
      </c>
      <c r="AU104" s="24"/>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row>
    <row r="105" spans="1:75" ht="15.75">
      <c r="A105" s="376">
        <v>16</v>
      </c>
      <c r="B105" s="16" t="s">
        <v>36</v>
      </c>
      <c r="C105" s="447"/>
      <c r="D105" s="447"/>
      <c r="E105" s="377">
        <f t="shared" si="77"/>
        <v>11.883750000000001</v>
      </c>
      <c r="F105" s="378">
        <v>4.65</v>
      </c>
      <c r="G105" s="377">
        <f t="shared" si="78"/>
        <v>6.142500000000001</v>
      </c>
      <c r="H105" s="377">
        <v>0.7</v>
      </c>
      <c r="I105" s="379">
        <v>0.2</v>
      </c>
      <c r="J105" s="377"/>
      <c r="K105" s="377">
        <f t="shared" si="74"/>
        <v>2.4250000000000003</v>
      </c>
      <c r="L105" s="377"/>
      <c r="M105" s="377"/>
      <c r="N105" s="377"/>
      <c r="O105" s="380">
        <f t="shared" si="75"/>
        <v>1.2125000000000001</v>
      </c>
      <c r="P105" s="377"/>
      <c r="Q105" s="377"/>
      <c r="R105" s="377"/>
      <c r="S105" s="381"/>
      <c r="T105" s="377">
        <f t="shared" si="76"/>
        <v>1.455</v>
      </c>
      <c r="U105" s="377"/>
      <c r="V105" s="377"/>
      <c r="W105" s="377">
        <v>0.15</v>
      </c>
      <c r="X105" s="377">
        <f t="shared" si="81"/>
        <v>1.09125</v>
      </c>
      <c r="Y105" s="382">
        <f t="shared" si="79"/>
        <v>212481450</v>
      </c>
      <c r="Z105" s="348"/>
      <c r="AA105" s="346">
        <f t="shared" si="90"/>
        <v>10.58225</v>
      </c>
      <c r="AB105" s="385">
        <v>3.99</v>
      </c>
      <c r="AC105" s="346">
        <f t="shared" si="84"/>
        <v>5.6495</v>
      </c>
      <c r="AD105" s="346">
        <v>0.7</v>
      </c>
      <c r="AE105" s="386">
        <v>0.2</v>
      </c>
      <c r="AF105" s="346"/>
      <c r="AG105" s="346">
        <f t="shared" si="85"/>
        <v>2.095</v>
      </c>
      <c r="AH105" s="346"/>
      <c r="AI105" s="346"/>
      <c r="AJ105" s="346"/>
      <c r="AK105" s="387">
        <f t="shared" si="86"/>
        <v>1.0475</v>
      </c>
      <c r="AL105" s="346"/>
      <c r="AM105" s="346"/>
      <c r="AN105" s="346"/>
      <c r="AO105" s="349"/>
      <c r="AP105" s="346">
        <f t="shared" si="87"/>
        <v>1.2570000000000001</v>
      </c>
      <c r="AQ105" s="348"/>
      <c r="AR105" s="346">
        <f>0.15+0.2</f>
        <v>0.35</v>
      </c>
      <c r="AS105" s="472">
        <f t="shared" si="88"/>
        <v>0.9427500000000001</v>
      </c>
      <c r="AT105" s="314"/>
      <c r="AU105" s="24"/>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row>
    <row r="106" spans="1:75" ht="15.75">
      <c r="A106" s="376">
        <v>17</v>
      </c>
      <c r="B106" s="16" t="s">
        <v>114</v>
      </c>
      <c r="C106" s="447"/>
      <c r="D106" s="447"/>
      <c r="E106" s="377">
        <f t="shared" si="77"/>
        <v>8.88075</v>
      </c>
      <c r="F106" s="378">
        <v>3.33</v>
      </c>
      <c r="G106" s="377">
        <f t="shared" si="78"/>
        <v>4.756500000000001</v>
      </c>
      <c r="H106" s="377">
        <v>0.7</v>
      </c>
      <c r="I106" s="377">
        <v>0.2</v>
      </c>
      <c r="J106" s="377"/>
      <c r="K106" s="377">
        <f t="shared" si="74"/>
        <v>1.7650000000000001</v>
      </c>
      <c r="L106" s="377"/>
      <c r="M106" s="377"/>
      <c r="N106" s="377"/>
      <c r="O106" s="380">
        <f t="shared" si="75"/>
        <v>0.8825000000000001</v>
      </c>
      <c r="P106" s="377"/>
      <c r="Q106" s="377"/>
      <c r="R106" s="377"/>
      <c r="S106" s="381"/>
      <c r="T106" s="377">
        <f t="shared" si="76"/>
        <v>1.059</v>
      </c>
      <c r="U106" s="377"/>
      <c r="V106" s="377"/>
      <c r="W106" s="377">
        <v>0.15</v>
      </c>
      <c r="X106" s="377">
        <f t="shared" si="81"/>
        <v>0.7942500000000001</v>
      </c>
      <c r="Y106" s="382">
        <f t="shared" si="79"/>
        <v>158787810.00000003</v>
      </c>
      <c r="Z106" s="348"/>
      <c r="AA106" s="346">
        <f>AB106+AC106+AS106</f>
        <v>2.8665</v>
      </c>
      <c r="AB106" s="385">
        <v>2.34</v>
      </c>
      <c r="AC106" s="346">
        <f t="shared" si="84"/>
        <v>0</v>
      </c>
      <c r="AD106" s="346"/>
      <c r="AE106" s="386"/>
      <c r="AF106" s="346"/>
      <c r="AG106" s="346"/>
      <c r="AH106" s="346"/>
      <c r="AI106" s="346"/>
      <c r="AJ106" s="346"/>
      <c r="AK106" s="387"/>
      <c r="AL106" s="346"/>
      <c r="AM106" s="346"/>
      <c r="AN106" s="346"/>
      <c r="AO106" s="349"/>
      <c r="AP106" s="346"/>
      <c r="AQ106" s="348"/>
      <c r="AR106" s="346"/>
      <c r="AS106" s="472">
        <f t="shared" si="88"/>
        <v>0.5265</v>
      </c>
      <c r="AT106" s="314">
        <f>AA106*12*1490000</f>
        <v>51253019.99999999</v>
      </c>
      <c r="AU106" s="24"/>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row>
    <row r="107" spans="1:75" ht="15.75">
      <c r="A107" s="376">
        <v>18</v>
      </c>
      <c r="B107" s="16" t="s">
        <v>113</v>
      </c>
      <c r="C107" s="447"/>
      <c r="D107" s="447"/>
      <c r="E107" s="377">
        <f t="shared" si="77"/>
        <v>10.56425</v>
      </c>
      <c r="F107" s="378">
        <v>4.27</v>
      </c>
      <c r="G107" s="377">
        <f t="shared" si="78"/>
        <v>5.3335</v>
      </c>
      <c r="H107" s="377">
        <v>0.7</v>
      </c>
      <c r="I107" s="377"/>
      <c r="J107" s="377"/>
      <c r="K107" s="377">
        <f t="shared" si="74"/>
        <v>2.135</v>
      </c>
      <c r="L107" s="377"/>
      <c r="M107" s="377"/>
      <c r="N107" s="377"/>
      <c r="O107" s="380">
        <f t="shared" si="75"/>
        <v>1.0675</v>
      </c>
      <c r="P107" s="377"/>
      <c r="Q107" s="377"/>
      <c r="R107" s="377"/>
      <c r="S107" s="381"/>
      <c r="T107" s="377">
        <f t="shared" si="76"/>
        <v>1.281</v>
      </c>
      <c r="U107" s="377"/>
      <c r="V107" s="377"/>
      <c r="W107" s="377">
        <v>0.15</v>
      </c>
      <c r="X107" s="377">
        <f t="shared" si="81"/>
        <v>0.9607499999999999</v>
      </c>
      <c r="Y107" s="382">
        <f t="shared" si="79"/>
        <v>188888790</v>
      </c>
      <c r="Z107" s="343"/>
      <c r="AA107" s="346">
        <f t="shared" si="90"/>
        <v>9.631500000000003</v>
      </c>
      <c r="AB107" s="385">
        <v>3.66</v>
      </c>
      <c r="AC107" s="346">
        <f t="shared" si="84"/>
        <v>5.103000000000001</v>
      </c>
      <c r="AD107" s="346">
        <v>0.7</v>
      </c>
      <c r="AE107" s="386">
        <v>0.2</v>
      </c>
      <c r="AF107" s="346"/>
      <c r="AG107" s="346">
        <f t="shared" si="85"/>
        <v>1.9300000000000002</v>
      </c>
      <c r="AH107" s="346"/>
      <c r="AI107" s="346"/>
      <c r="AJ107" s="346"/>
      <c r="AK107" s="387">
        <f t="shared" si="86"/>
        <v>0.9650000000000001</v>
      </c>
      <c r="AL107" s="346"/>
      <c r="AM107" s="346"/>
      <c r="AN107" s="346"/>
      <c r="AO107" s="349"/>
      <c r="AP107" s="346">
        <f t="shared" si="87"/>
        <v>1.1580000000000001</v>
      </c>
      <c r="AQ107" s="343"/>
      <c r="AR107" s="346">
        <v>0.15</v>
      </c>
      <c r="AS107" s="472">
        <f t="shared" si="88"/>
        <v>0.8685</v>
      </c>
      <c r="AT107" s="314">
        <f t="shared" si="89"/>
        <v>172211220.00000006</v>
      </c>
      <c r="AU107" s="24"/>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row>
    <row r="108" spans="1:75" ht="15.75">
      <c r="A108" s="376">
        <v>19</v>
      </c>
      <c r="B108" s="16" t="s">
        <v>112</v>
      </c>
      <c r="C108" s="447"/>
      <c r="D108" s="447"/>
      <c r="E108" s="377">
        <f t="shared" si="77"/>
        <v>8.88075</v>
      </c>
      <c r="F108" s="378">
        <v>3.33</v>
      </c>
      <c r="G108" s="377">
        <f t="shared" si="78"/>
        <v>4.756500000000001</v>
      </c>
      <c r="H108" s="377">
        <v>0.7</v>
      </c>
      <c r="I108" s="377">
        <v>0.2</v>
      </c>
      <c r="J108" s="377"/>
      <c r="K108" s="377">
        <f t="shared" si="74"/>
        <v>1.7650000000000001</v>
      </c>
      <c r="L108" s="377"/>
      <c r="M108" s="377"/>
      <c r="N108" s="377"/>
      <c r="O108" s="380">
        <f t="shared" si="75"/>
        <v>0.8825000000000001</v>
      </c>
      <c r="P108" s="377"/>
      <c r="Q108" s="377"/>
      <c r="R108" s="377"/>
      <c r="S108" s="381"/>
      <c r="T108" s="377">
        <f t="shared" si="76"/>
        <v>1.059</v>
      </c>
      <c r="U108" s="377"/>
      <c r="V108" s="377"/>
      <c r="W108" s="377">
        <v>0.15</v>
      </c>
      <c r="X108" s="377">
        <f t="shared" si="81"/>
        <v>0.7942500000000001</v>
      </c>
      <c r="Y108" s="382">
        <f t="shared" si="79"/>
        <v>158787810.00000003</v>
      </c>
      <c r="Z108" s="348"/>
      <c r="AA108" s="346">
        <f t="shared" si="90"/>
        <v>10.496000000000002</v>
      </c>
      <c r="AB108" s="385">
        <v>3.99</v>
      </c>
      <c r="AC108" s="346">
        <f t="shared" si="84"/>
        <v>5.552000000000001</v>
      </c>
      <c r="AD108" s="346">
        <v>0.7</v>
      </c>
      <c r="AE108" s="386">
        <v>0.25</v>
      </c>
      <c r="AF108" s="346"/>
      <c r="AG108" s="346">
        <f t="shared" si="85"/>
        <v>2.12</v>
      </c>
      <c r="AH108" s="346"/>
      <c r="AI108" s="346"/>
      <c r="AJ108" s="346"/>
      <c r="AK108" s="387">
        <f t="shared" si="86"/>
        <v>1.06</v>
      </c>
      <c r="AL108" s="346"/>
      <c r="AM108" s="346"/>
      <c r="AN108" s="346"/>
      <c r="AO108" s="349"/>
      <c r="AP108" s="346">
        <f t="shared" si="87"/>
        <v>1.272</v>
      </c>
      <c r="AQ108" s="348"/>
      <c r="AR108" s="346">
        <v>0.15</v>
      </c>
      <c r="AS108" s="472">
        <f t="shared" si="88"/>
        <v>0.9540000000000001</v>
      </c>
      <c r="AT108" s="314">
        <f t="shared" si="89"/>
        <v>187668480.00000006</v>
      </c>
      <c r="AU108" s="24"/>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row>
    <row r="109" spans="1:75" ht="15.75">
      <c r="A109" s="376">
        <v>20</v>
      </c>
      <c r="B109" s="16" t="s">
        <v>111</v>
      </c>
      <c r="C109" s="447"/>
      <c r="D109" s="447"/>
      <c r="E109" s="377">
        <f t="shared" si="77"/>
        <v>8.13</v>
      </c>
      <c r="F109" s="378">
        <v>3</v>
      </c>
      <c r="G109" s="377">
        <f t="shared" si="78"/>
        <v>4.41</v>
      </c>
      <c r="H109" s="377">
        <v>0.7</v>
      </c>
      <c r="I109" s="377">
        <v>0.2</v>
      </c>
      <c r="J109" s="377"/>
      <c r="K109" s="377">
        <f t="shared" si="74"/>
        <v>1.6</v>
      </c>
      <c r="L109" s="377"/>
      <c r="M109" s="377"/>
      <c r="N109" s="377"/>
      <c r="O109" s="380">
        <f t="shared" si="75"/>
        <v>0.8</v>
      </c>
      <c r="P109" s="377"/>
      <c r="Q109" s="377"/>
      <c r="R109" s="377"/>
      <c r="S109" s="381"/>
      <c r="T109" s="377">
        <f t="shared" si="76"/>
        <v>0.96</v>
      </c>
      <c r="U109" s="377"/>
      <c r="V109" s="377"/>
      <c r="W109" s="377">
        <v>0.15</v>
      </c>
      <c r="X109" s="377">
        <f t="shared" si="81"/>
        <v>0.7200000000000001</v>
      </c>
      <c r="Y109" s="382">
        <f t="shared" si="79"/>
        <v>145364400.00000003</v>
      </c>
      <c r="Z109" s="348"/>
      <c r="AA109" s="346">
        <f t="shared" si="90"/>
        <v>9.790750000000001</v>
      </c>
      <c r="AB109" s="385">
        <v>3.33</v>
      </c>
      <c r="AC109" s="346">
        <f t="shared" si="84"/>
        <v>5.5765</v>
      </c>
      <c r="AD109" s="346">
        <v>0.7</v>
      </c>
      <c r="AE109" s="386">
        <v>0.6</v>
      </c>
      <c r="AF109" s="346"/>
      <c r="AG109" s="346">
        <f t="shared" si="85"/>
        <v>1.965</v>
      </c>
      <c r="AH109" s="346"/>
      <c r="AI109" s="346"/>
      <c r="AJ109" s="346"/>
      <c r="AK109" s="387">
        <f t="shared" si="86"/>
        <v>0.9825</v>
      </c>
      <c r="AL109" s="346"/>
      <c r="AM109" s="346"/>
      <c r="AN109" s="346"/>
      <c r="AO109" s="349"/>
      <c r="AP109" s="346">
        <f t="shared" si="87"/>
        <v>1.179</v>
      </c>
      <c r="AQ109" s="348"/>
      <c r="AR109" s="346">
        <v>0.15</v>
      </c>
      <c r="AS109" s="472">
        <f t="shared" si="88"/>
        <v>0.8842500000000001</v>
      </c>
      <c r="AT109" s="314">
        <f t="shared" si="89"/>
        <v>175058610.00000003</v>
      </c>
      <c r="AU109" s="24"/>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row>
    <row r="110" spans="1:75" ht="15.75">
      <c r="A110" s="376">
        <v>21</v>
      </c>
      <c r="B110" s="16" t="s">
        <v>110</v>
      </c>
      <c r="C110" s="447"/>
      <c r="D110" s="447"/>
      <c r="E110" s="377">
        <f t="shared" si="77"/>
        <v>7.12425</v>
      </c>
      <c r="F110" s="378">
        <v>2.67</v>
      </c>
      <c r="G110" s="377">
        <f t="shared" si="78"/>
        <v>3.8535</v>
      </c>
      <c r="H110" s="377">
        <v>0.7</v>
      </c>
      <c r="I110" s="377"/>
      <c r="J110" s="377"/>
      <c r="K110" s="377">
        <f t="shared" si="74"/>
        <v>1.335</v>
      </c>
      <c r="L110" s="377"/>
      <c r="M110" s="377"/>
      <c r="N110" s="377"/>
      <c r="O110" s="380">
        <f t="shared" si="75"/>
        <v>0.6675</v>
      </c>
      <c r="P110" s="377"/>
      <c r="Q110" s="377"/>
      <c r="R110" s="377"/>
      <c r="S110" s="381"/>
      <c r="T110" s="377">
        <f t="shared" si="76"/>
        <v>0.8009999999999999</v>
      </c>
      <c r="U110" s="377">
        <v>0.2</v>
      </c>
      <c r="V110" s="377"/>
      <c r="W110" s="377">
        <v>0.15</v>
      </c>
      <c r="X110" s="377">
        <f t="shared" si="81"/>
        <v>0.60075</v>
      </c>
      <c r="Y110" s="382">
        <f t="shared" si="79"/>
        <v>127381590</v>
      </c>
      <c r="Z110" s="343"/>
      <c r="AA110" s="346">
        <f t="shared" si="90"/>
        <v>6.924249999999999</v>
      </c>
      <c r="AB110" s="385">
        <v>2.67</v>
      </c>
      <c r="AC110" s="346">
        <f t="shared" si="84"/>
        <v>3.6534999999999997</v>
      </c>
      <c r="AD110" s="346">
        <v>0.7</v>
      </c>
      <c r="AE110" s="386"/>
      <c r="AF110" s="346"/>
      <c r="AG110" s="346">
        <f t="shared" si="85"/>
        <v>1.335</v>
      </c>
      <c r="AH110" s="346"/>
      <c r="AI110" s="346"/>
      <c r="AJ110" s="346"/>
      <c r="AK110" s="387">
        <f t="shared" si="86"/>
        <v>0.6675</v>
      </c>
      <c r="AL110" s="346"/>
      <c r="AM110" s="346"/>
      <c r="AN110" s="346"/>
      <c r="AO110" s="349"/>
      <c r="AP110" s="346">
        <f t="shared" si="87"/>
        <v>0.8009999999999999</v>
      </c>
      <c r="AQ110" s="343"/>
      <c r="AR110" s="346">
        <v>0.15</v>
      </c>
      <c r="AS110" s="472">
        <f t="shared" si="88"/>
        <v>0.60075</v>
      </c>
      <c r="AT110" s="314">
        <f t="shared" si="89"/>
        <v>123805589.99999997</v>
      </c>
      <c r="AU110" s="24"/>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row>
    <row r="111" spans="1:75" ht="15.75">
      <c r="A111" s="376">
        <v>22</v>
      </c>
      <c r="B111" s="16" t="s">
        <v>109</v>
      </c>
      <c r="C111" s="447"/>
      <c r="D111" s="447"/>
      <c r="E111" s="377">
        <f t="shared" si="77"/>
        <v>6.924249999999999</v>
      </c>
      <c r="F111" s="378">
        <v>2.67</v>
      </c>
      <c r="G111" s="377">
        <f t="shared" si="78"/>
        <v>3.6534999999999997</v>
      </c>
      <c r="H111" s="377">
        <v>0.7</v>
      </c>
      <c r="I111" s="377"/>
      <c r="J111" s="377"/>
      <c r="K111" s="377">
        <f t="shared" si="74"/>
        <v>1.335</v>
      </c>
      <c r="L111" s="377"/>
      <c r="M111" s="377"/>
      <c r="N111" s="377"/>
      <c r="O111" s="380">
        <f t="shared" si="75"/>
        <v>0.6675</v>
      </c>
      <c r="P111" s="377"/>
      <c r="Q111" s="377"/>
      <c r="R111" s="377"/>
      <c r="S111" s="381"/>
      <c r="T111" s="377">
        <f t="shared" si="76"/>
        <v>0.8009999999999999</v>
      </c>
      <c r="U111" s="377"/>
      <c r="V111" s="377"/>
      <c r="W111" s="377">
        <v>0.15</v>
      </c>
      <c r="X111" s="377">
        <f t="shared" si="81"/>
        <v>0.60075</v>
      </c>
      <c r="Y111" s="382">
        <f t="shared" si="79"/>
        <v>123805589.99999997</v>
      </c>
      <c r="Z111" s="343"/>
      <c r="AA111" s="346">
        <f t="shared" si="90"/>
        <v>10.60975</v>
      </c>
      <c r="AB111" s="385">
        <v>3.99</v>
      </c>
      <c r="AC111" s="346">
        <f t="shared" si="84"/>
        <v>5.6545000000000005</v>
      </c>
      <c r="AD111" s="346">
        <v>0.7</v>
      </c>
      <c r="AE111" s="386">
        <v>0.3</v>
      </c>
      <c r="AF111" s="346"/>
      <c r="AG111" s="346">
        <f t="shared" si="85"/>
        <v>2.145</v>
      </c>
      <c r="AH111" s="346"/>
      <c r="AI111" s="346"/>
      <c r="AJ111" s="346"/>
      <c r="AK111" s="387">
        <f t="shared" si="86"/>
        <v>1.0725</v>
      </c>
      <c r="AL111" s="346"/>
      <c r="AM111" s="346"/>
      <c r="AN111" s="346"/>
      <c r="AO111" s="349"/>
      <c r="AP111" s="346">
        <f t="shared" si="87"/>
        <v>1.287</v>
      </c>
      <c r="AQ111" s="343"/>
      <c r="AR111" s="346">
        <v>0.15</v>
      </c>
      <c r="AS111" s="472">
        <f t="shared" si="88"/>
        <v>0.96525</v>
      </c>
      <c r="AT111" s="314">
        <f t="shared" si="89"/>
        <v>189702330</v>
      </c>
      <c r="AU111" s="24"/>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row>
    <row r="112" spans="1:75" ht="15.75">
      <c r="A112" s="376">
        <v>23</v>
      </c>
      <c r="B112" s="16" t="s">
        <v>108</v>
      </c>
      <c r="C112" s="447"/>
      <c r="D112" s="447"/>
      <c r="E112" s="377">
        <f t="shared" si="77"/>
        <v>6.924249999999999</v>
      </c>
      <c r="F112" s="378">
        <v>2.67</v>
      </c>
      <c r="G112" s="377">
        <f t="shared" si="78"/>
        <v>3.6534999999999997</v>
      </c>
      <c r="H112" s="377">
        <v>0.7</v>
      </c>
      <c r="I112" s="377"/>
      <c r="J112" s="377"/>
      <c r="K112" s="377">
        <f t="shared" si="74"/>
        <v>1.335</v>
      </c>
      <c r="L112" s="377"/>
      <c r="M112" s="377"/>
      <c r="N112" s="377"/>
      <c r="O112" s="380">
        <f t="shared" si="75"/>
        <v>0.6675</v>
      </c>
      <c r="P112" s="377"/>
      <c r="Q112" s="377"/>
      <c r="R112" s="377"/>
      <c r="S112" s="381"/>
      <c r="T112" s="377">
        <f t="shared" si="76"/>
        <v>0.8009999999999999</v>
      </c>
      <c r="U112" s="377"/>
      <c r="V112" s="377"/>
      <c r="W112" s="377">
        <v>0.15</v>
      </c>
      <c r="X112" s="377">
        <f t="shared" si="81"/>
        <v>0.60075</v>
      </c>
      <c r="Y112" s="382">
        <f t="shared" si="79"/>
        <v>123805589.99999997</v>
      </c>
      <c r="Z112" s="384"/>
      <c r="AA112" s="346">
        <f t="shared" si="90"/>
        <v>11.883750000000001</v>
      </c>
      <c r="AB112" s="385">
        <v>4.65</v>
      </c>
      <c r="AC112" s="346">
        <f t="shared" si="84"/>
        <v>6.142500000000001</v>
      </c>
      <c r="AD112" s="346">
        <v>0.7</v>
      </c>
      <c r="AE112" s="386">
        <v>0.2</v>
      </c>
      <c r="AF112" s="346"/>
      <c r="AG112" s="346">
        <f t="shared" si="85"/>
        <v>2.4250000000000003</v>
      </c>
      <c r="AH112" s="346"/>
      <c r="AI112" s="346"/>
      <c r="AJ112" s="346"/>
      <c r="AK112" s="387">
        <f t="shared" si="86"/>
        <v>1.2125000000000001</v>
      </c>
      <c r="AL112" s="346"/>
      <c r="AM112" s="346"/>
      <c r="AN112" s="346"/>
      <c r="AO112" s="349"/>
      <c r="AP112" s="346">
        <f t="shared" si="87"/>
        <v>1.455</v>
      </c>
      <c r="AQ112" s="343"/>
      <c r="AR112" s="346">
        <v>0.15</v>
      </c>
      <c r="AS112" s="472">
        <f t="shared" si="88"/>
        <v>1.09125</v>
      </c>
      <c r="AT112" s="314">
        <f t="shared" si="89"/>
        <v>212481450</v>
      </c>
      <c r="AU112" s="24"/>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row>
    <row r="113" spans="1:75" ht="15.75">
      <c r="A113" s="376">
        <v>24</v>
      </c>
      <c r="B113" s="16" t="s">
        <v>107</v>
      </c>
      <c r="C113" s="447"/>
      <c r="D113" s="447"/>
      <c r="E113" s="377">
        <f t="shared" si="77"/>
        <v>6.173500000000001</v>
      </c>
      <c r="F113" s="378">
        <v>2.34</v>
      </c>
      <c r="G113" s="377">
        <f t="shared" si="78"/>
        <v>3.307</v>
      </c>
      <c r="H113" s="377">
        <v>0.7</v>
      </c>
      <c r="I113" s="377"/>
      <c r="J113" s="377"/>
      <c r="K113" s="377">
        <f t="shared" si="74"/>
        <v>1.17</v>
      </c>
      <c r="L113" s="377"/>
      <c r="M113" s="377"/>
      <c r="N113" s="377"/>
      <c r="O113" s="380">
        <f t="shared" si="75"/>
        <v>0.585</v>
      </c>
      <c r="P113" s="377"/>
      <c r="Q113" s="377"/>
      <c r="R113" s="377"/>
      <c r="S113" s="381"/>
      <c r="T113" s="377">
        <f t="shared" si="76"/>
        <v>0.702</v>
      </c>
      <c r="U113" s="377"/>
      <c r="V113" s="377"/>
      <c r="W113" s="377">
        <v>0.15</v>
      </c>
      <c r="X113" s="377">
        <f t="shared" si="81"/>
        <v>0.5265</v>
      </c>
      <c r="Y113" s="382">
        <f t="shared" si="79"/>
        <v>110382180.00000003</v>
      </c>
      <c r="Z113" s="384"/>
      <c r="AA113" s="346">
        <f t="shared" si="90"/>
        <v>8.88075</v>
      </c>
      <c r="AB113" s="385">
        <v>3.33</v>
      </c>
      <c r="AC113" s="346">
        <f t="shared" si="84"/>
        <v>4.756500000000001</v>
      </c>
      <c r="AD113" s="346">
        <v>0.7</v>
      </c>
      <c r="AE113" s="346">
        <v>0.2</v>
      </c>
      <c r="AF113" s="346"/>
      <c r="AG113" s="346">
        <f t="shared" si="85"/>
        <v>1.7650000000000001</v>
      </c>
      <c r="AH113" s="346"/>
      <c r="AI113" s="346"/>
      <c r="AJ113" s="346"/>
      <c r="AK113" s="387">
        <f t="shared" si="86"/>
        <v>0.8825000000000001</v>
      </c>
      <c r="AL113" s="346"/>
      <c r="AM113" s="346"/>
      <c r="AN113" s="346"/>
      <c r="AO113" s="349"/>
      <c r="AP113" s="346">
        <f t="shared" si="87"/>
        <v>1.059</v>
      </c>
      <c r="AQ113" s="348"/>
      <c r="AR113" s="346">
        <v>0.15</v>
      </c>
      <c r="AS113" s="472">
        <f t="shared" si="88"/>
        <v>0.7942500000000001</v>
      </c>
      <c r="AT113" s="314">
        <f t="shared" si="89"/>
        <v>158787810.00000003</v>
      </c>
      <c r="AU113" s="24"/>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row>
    <row r="114" spans="1:75" ht="15.75">
      <c r="A114" s="376">
        <v>25</v>
      </c>
      <c r="B114" s="16" t="s">
        <v>106</v>
      </c>
      <c r="C114" s="447"/>
      <c r="D114" s="447"/>
      <c r="E114" s="377">
        <f t="shared" si="77"/>
        <v>6.924249999999999</v>
      </c>
      <c r="F114" s="378">
        <v>2.67</v>
      </c>
      <c r="G114" s="377">
        <f t="shared" si="78"/>
        <v>3.6534999999999997</v>
      </c>
      <c r="H114" s="377">
        <v>0.7</v>
      </c>
      <c r="I114" s="377"/>
      <c r="J114" s="377"/>
      <c r="K114" s="377">
        <f t="shared" si="74"/>
        <v>1.335</v>
      </c>
      <c r="L114" s="377"/>
      <c r="M114" s="377"/>
      <c r="N114" s="377"/>
      <c r="O114" s="380">
        <f t="shared" si="75"/>
        <v>0.6675</v>
      </c>
      <c r="P114" s="377"/>
      <c r="Q114" s="377"/>
      <c r="R114" s="377"/>
      <c r="S114" s="381"/>
      <c r="T114" s="377">
        <f t="shared" si="76"/>
        <v>0.8009999999999999</v>
      </c>
      <c r="U114" s="377"/>
      <c r="V114" s="377"/>
      <c r="W114" s="377">
        <v>0.15</v>
      </c>
      <c r="X114" s="377">
        <f t="shared" si="81"/>
        <v>0.60075</v>
      </c>
      <c r="Y114" s="382">
        <f t="shared" si="79"/>
        <v>123805589.99999997</v>
      </c>
      <c r="Z114" s="388"/>
      <c r="AA114" s="389">
        <f t="shared" si="90"/>
        <v>10.56425</v>
      </c>
      <c r="AB114" s="390">
        <v>4.27</v>
      </c>
      <c r="AC114" s="346">
        <f t="shared" si="84"/>
        <v>5.3335</v>
      </c>
      <c r="AD114" s="389">
        <v>0.7</v>
      </c>
      <c r="AE114" s="389"/>
      <c r="AF114" s="389"/>
      <c r="AG114" s="389">
        <f t="shared" si="85"/>
        <v>2.135</v>
      </c>
      <c r="AH114" s="389"/>
      <c r="AI114" s="389"/>
      <c r="AJ114" s="389"/>
      <c r="AK114" s="391">
        <f t="shared" si="86"/>
        <v>1.0675</v>
      </c>
      <c r="AL114" s="389"/>
      <c r="AM114" s="389"/>
      <c r="AN114" s="389"/>
      <c r="AO114" s="392"/>
      <c r="AP114" s="389">
        <f t="shared" si="87"/>
        <v>1.281</v>
      </c>
      <c r="AQ114" s="393"/>
      <c r="AR114" s="346">
        <v>0.15</v>
      </c>
      <c r="AS114" s="472">
        <f t="shared" si="88"/>
        <v>0.9607499999999999</v>
      </c>
      <c r="AT114" s="314">
        <f t="shared" si="89"/>
        <v>188888790</v>
      </c>
      <c r="AU114" s="24"/>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row>
    <row r="115" spans="1:75" ht="15.75">
      <c r="A115" s="376">
        <v>26</v>
      </c>
      <c r="B115" s="16" t="s">
        <v>105</v>
      </c>
      <c r="C115" s="447"/>
      <c r="D115" s="447"/>
      <c r="E115" s="377">
        <f t="shared" si="77"/>
        <v>6.041499999999999</v>
      </c>
      <c r="F115" s="378">
        <v>2.26</v>
      </c>
      <c r="G115" s="377">
        <f t="shared" si="78"/>
        <v>3.2729999999999992</v>
      </c>
      <c r="H115" s="377">
        <v>0.7</v>
      </c>
      <c r="I115" s="377"/>
      <c r="J115" s="377"/>
      <c r="K115" s="377">
        <f t="shared" si="74"/>
        <v>1.13</v>
      </c>
      <c r="L115" s="377"/>
      <c r="M115" s="377"/>
      <c r="N115" s="377"/>
      <c r="O115" s="380">
        <f t="shared" si="75"/>
        <v>0.565</v>
      </c>
      <c r="P115" s="377"/>
      <c r="Q115" s="377"/>
      <c r="R115" s="377"/>
      <c r="S115" s="381"/>
      <c r="T115" s="377">
        <f t="shared" si="76"/>
        <v>0.6779999999999999</v>
      </c>
      <c r="U115" s="377">
        <v>0.05</v>
      </c>
      <c r="V115" s="377"/>
      <c r="W115" s="377">
        <v>0.15</v>
      </c>
      <c r="X115" s="377">
        <f t="shared" si="81"/>
        <v>0.5085</v>
      </c>
      <c r="Y115" s="382">
        <f t="shared" si="79"/>
        <v>108022019.99999997</v>
      </c>
      <c r="Z115" s="394"/>
      <c r="AA115" s="346">
        <f t="shared" si="90"/>
        <v>8.88075</v>
      </c>
      <c r="AB115" s="385">
        <v>3.33</v>
      </c>
      <c r="AC115" s="346">
        <f t="shared" si="84"/>
        <v>4.756500000000001</v>
      </c>
      <c r="AD115" s="346">
        <v>0.7</v>
      </c>
      <c r="AE115" s="346">
        <v>0.2</v>
      </c>
      <c r="AF115" s="346"/>
      <c r="AG115" s="346">
        <f t="shared" si="85"/>
        <v>1.7650000000000001</v>
      </c>
      <c r="AH115" s="346"/>
      <c r="AI115" s="346"/>
      <c r="AJ115" s="346"/>
      <c r="AK115" s="387">
        <f t="shared" si="86"/>
        <v>0.8825000000000001</v>
      </c>
      <c r="AL115" s="346"/>
      <c r="AM115" s="346"/>
      <c r="AN115" s="346"/>
      <c r="AO115" s="349"/>
      <c r="AP115" s="346">
        <f t="shared" si="87"/>
        <v>1.059</v>
      </c>
      <c r="AQ115" s="394"/>
      <c r="AR115" s="346">
        <v>0.15</v>
      </c>
      <c r="AS115" s="472">
        <f t="shared" si="88"/>
        <v>0.7942500000000001</v>
      </c>
      <c r="AT115" s="314">
        <f t="shared" si="89"/>
        <v>158787810.00000003</v>
      </c>
      <c r="AU115" s="24"/>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row>
    <row r="116" spans="1:75" ht="15.75">
      <c r="A116" s="376">
        <v>27</v>
      </c>
      <c r="B116" s="395" t="s">
        <v>104</v>
      </c>
      <c r="C116" s="447"/>
      <c r="D116" s="447"/>
      <c r="E116" s="377">
        <f t="shared" si="77"/>
        <v>6.173500000000001</v>
      </c>
      <c r="F116" s="378">
        <v>2.34</v>
      </c>
      <c r="G116" s="377">
        <f t="shared" si="78"/>
        <v>3.307</v>
      </c>
      <c r="H116" s="377">
        <v>0.7</v>
      </c>
      <c r="I116" s="377"/>
      <c r="J116" s="377"/>
      <c r="K116" s="377">
        <f t="shared" si="74"/>
        <v>1.17</v>
      </c>
      <c r="L116" s="377"/>
      <c r="M116" s="377"/>
      <c r="N116" s="377"/>
      <c r="O116" s="380">
        <f t="shared" si="75"/>
        <v>0.585</v>
      </c>
      <c r="P116" s="377"/>
      <c r="Q116" s="377"/>
      <c r="R116" s="377"/>
      <c r="S116" s="381"/>
      <c r="T116" s="377">
        <f t="shared" si="76"/>
        <v>0.702</v>
      </c>
      <c r="U116" s="377"/>
      <c r="V116" s="377"/>
      <c r="W116" s="377">
        <v>0.15</v>
      </c>
      <c r="X116" s="377">
        <f t="shared" si="81"/>
        <v>0.5265</v>
      </c>
      <c r="Y116" s="382">
        <f t="shared" si="79"/>
        <v>110382180.00000003</v>
      </c>
      <c r="Z116" s="394"/>
      <c r="AA116" s="346">
        <f t="shared" si="90"/>
        <v>8.13</v>
      </c>
      <c r="AB116" s="385">
        <v>3</v>
      </c>
      <c r="AC116" s="346">
        <f t="shared" si="84"/>
        <v>4.41</v>
      </c>
      <c r="AD116" s="346">
        <v>0.7</v>
      </c>
      <c r="AE116" s="346">
        <v>0.2</v>
      </c>
      <c r="AF116" s="346"/>
      <c r="AG116" s="346">
        <f t="shared" si="85"/>
        <v>1.6</v>
      </c>
      <c r="AH116" s="346"/>
      <c r="AI116" s="346"/>
      <c r="AJ116" s="346"/>
      <c r="AK116" s="387">
        <f t="shared" si="86"/>
        <v>0.8</v>
      </c>
      <c r="AL116" s="346"/>
      <c r="AM116" s="346"/>
      <c r="AN116" s="346"/>
      <c r="AO116" s="349"/>
      <c r="AP116" s="346">
        <f t="shared" si="87"/>
        <v>0.96</v>
      </c>
      <c r="AQ116" s="369"/>
      <c r="AR116" s="346">
        <v>0.15</v>
      </c>
      <c r="AS116" s="472">
        <f t="shared" si="88"/>
        <v>0.7200000000000001</v>
      </c>
      <c r="AT116" s="314">
        <f t="shared" si="89"/>
        <v>145364400.00000003</v>
      </c>
      <c r="AU116" s="24"/>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row>
    <row r="117" spans="1:75" ht="15.75">
      <c r="A117" s="376">
        <v>28</v>
      </c>
      <c r="B117" s="395" t="s">
        <v>103</v>
      </c>
      <c r="C117" s="447"/>
      <c r="D117" s="447"/>
      <c r="E117" s="377">
        <f t="shared" si="77"/>
        <v>6.173500000000001</v>
      </c>
      <c r="F117" s="378">
        <v>2.34</v>
      </c>
      <c r="G117" s="377">
        <f t="shared" si="78"/>
        <v>3.307</v>
      </c>
      <c r="H117" s="377">
        <v>0.7</v>
      </c>
      <c r="I117" s="377"/>
      <c r="J117" s="377"/>
      <c r="K117" s="377">
        <f t="shared" si="74"/>
        <v>1.17</v>
      </c>
      <c r="L117" s="377"/>
      <c r="M117" s="377"/>
      <c r="N117" s="377"/>
      <c r="O117" s="380">
        <f t="shared" si="75"/>
        <v>0.585</v>
      </c>
      <c r="P117" s="377"/>
      <c r="Q117" s="377"/>
      <c r="R117" s="377"/>
      <c r="S117" s="381"/>
      <c r="T117" s="377">
        <f t="shared" si="76"/>
        <v>0.702</v>
      </c>
      <c r="U117" s="377"/>
      <c r="V117" s="377"/>
      <c r="W117" s="377">
        <v>0.15</v>
      </c>
      <c r="X117" s="377">
        <f t="shared" si="81"/>
        <v>0.5265</v>
      </c>
      <c r="Y117" s="382">
        <f t="shared" si="79"/>
        <v>110382180.00000003</v>
      </c>
      <c r="Z117" s="394"/>
      <c r="AA117" s="346">
        <f t="shared" si="90"/>
        <v>7.12425</v>
      </c>
      <c r="AB117" s="385">
        <v>2.67</v>
      </c>
      <c r="AC117" s="346">
        <f t="shared" si="84"/>
        <v>3.8535</v>
      </c>
      <c r="AD117" s="346">
        <v>0.7</v>
      </c>
      <c r="AE117" s="346"/>
      <c r="AF117" s="346"/>
      <c r="AG117" s="346">
        <f t="shared" si="85"/>
        <v>1.335</v>
      </c>
      <c r="AH117" s="346"/>
      <c r="AI117" s="346"/>
      <c r="AJ117" s="346"/>
      <c r="AK117" s="387">
        <f t="shared" si="86"/>
        <v>0.6675</v>
      </c>
      <c r="AL117" s="346"/>
      <c r="AM117" s="346"/>
      <c r="AN117" s="346"/>
      <c r="AO117" s="349"/>
      <c r="AP117" s="346">
        <f t="shared" si="87"/>
        <v>0.8009999999999999</v>
      </c>
      <c r="AQ117" s="369"/>
      <c r="AR117" s="346">
        <f>0.2+0.15</f>
        <v>0.35</v>
      </c>
      <c r="AS117" s="472">
        <f t="shared" si="88"/>
        <v>0.60075</v>
      </c>
      <c r="AT117" s="314">
        <f>AA117*1490000*12</f>
        <v>127381590</v>
      </c>
      <c r="AU117" s="24"/>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row>
    <row r="118" spans="1:75" ht="15.75">
      <c r="A118" s="376">
        <v>29</v>
      </c>
      <c r="B118" s="396" t="s">
        <v>102</v>
      </c>
      <c r="C118" s="448"/>
      <c r="D118" s="448"/>
      <c r="E118" s="377">
        <f t="shared" si="77"/>
        <v>6.924249999999999</v>
      </c>
      <c r="F118" s="381">
        <v>2.67</v>
      </c>
      <c r="G118" s="377">
        <f t="shared" si="78"/>
        <v>3.6534999999999997</v>
      </c>
      <c r="H118" s="377">
        <v>0.7</v>
      </c>
      <c r="I118" s="377"/>
      <c r="J118" s="377"/>
      <c r="K118" s="377">
        <f>(F118+I118)*50%</f>
        <v>1.335</v>
      </c>
      <c r="L118" s="377"/>
      <c r="M118" s="377"/>
      <c r="N118" s="377"/>
      <c r="O118" s="397">
        <f>(F118+I118)*25%</f>
        <v>0.6675</v>
      </c>
      <c r="P118" s="377"/>
      <c r="Q118" s="377"/>
      <c r="R118" s="377"/>
      <c r="S118" s="381"/>
      <c r="T118" s="377">
        <f t="shared" si="76"/>
        <v>0.8009999999999999</v>
      </c>
      <c r="U118" s="377"/>
      <c r="V118" s="377"/>
      <c r="W118" s="377">
        <v>0.15</v>
      </c>
      <c r="X118" s="377">
        <f>(F118+I118)*22.5%</f>
        <v>0.60075</v>
      </c>
      <c r="Y118" s="382">
        <f t="shared" si="79"/>
        <v>123805589.99999997</v>
      </c>
      <c r="Z118" s="394"/>
      <c r="AA118" s="346">
        <f t="shared" si="90"/>
        <v>6.924249999999999</v>
      </c>
      <c r="AB118" s="385">
        <v>2.67</v>
      </c>
      <c r="AC118" s="346">
        <f t="shared" si="84"/>
        <v>3.6534999999999997</v>
      </c>
      <c r="AD118" s="346">
        <v>0.7</v>
      </c>
      <c r="AE118" s="346"/>
      <c r="AF118" s="346"/>
      <c r="AG118" s="346">
        <f t="shared" si="85"/>
        <v>1.335</v>
      </c>
      <c r="AH118" s="346"/>
      <c r="AI118" s="346"/>
      <c r="AJ118" s="346"/>
      <c r="AK118" s="387">
        <f t="shared" si="86"/>
        <v>0.6675</v>
      </c>
      <c r="AL118" s="346"/>
      <c r="AM118" s="346"/>
      <c r="AN118" s="346"/>
      <c r="AO118" s="349"/>
      <c r="AP118" s="346">
        <f t="shared" si="87"/>
        <v>0.8009999999999999</v>
      </c>
      <c r="AQ118" s="369"/>
      <c r="AR118" s="346">
        <v>0.15</v>
      </c>
      <c r="AS118" s="472">
        <f t="shared" si="88"/>
        <v>0.60075</v>
      </c>
      <c r="AT118" s="314">
        <f t="shared" si="89"/>
        <v>123805589.99999997</v>
      </c>
      <c r="AU118" s="492"/>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row>
    <row r="119" spans="1:75" ht="15.75">
      <c r="A119" s="376">
        <v>30</v>
      </c>
      <c r="B119" s="396" t="s">
        <v>101</v>
      </c>
      <c r="C119" s="448"/>
      <c r="D119" s="448"/>
      <c r="E119" s="377">
        <f t="shared" si="77"/>
        <v>6.9015</v>
      </c>
      <c r="F119" s="381">
        <v>2.66</v>
      </c>
      <c r="G119" s="377">
        <f t="shared" si="78"/>
        <v>3.6430000000000002</v>
      </c>
      <c r="H119" s="377">
        <v>0.7</v>
      </c>
      <c r="I119" s="377"/>
      <c r="J119" s="377"/>
      <c r="K119" s="377">
        <f>(F119+I119)*50%</f>
        <v>1.33</v>
      </c>
      <c r="L119" s="377"/>
      <c r="M119" s="377"/>
      <c r="N119" s="377"/>
      <c r="O119" s="397">
        <f>(F119+I119)*25%</f>
        <v>0.665</v>
      </c>
      <c r="P119" s="377"/>
      <c r="Q119" s="377"/>
      <c r="R119" s="377"/>
      <c r="S119" s="381"/>
      <c r="T119" s="377">
        <f t="shared" si="76"/>
        <v>0.798</v>
      </c>
      <c r="U119" s="377"/>
      <c r="V119" s="377"/>
      <c r="W119" s="377">
        <v>0.15</v>
      </c>
      <c r="X119" s="377">
        <f>(F119+I119)*22.5%</f>
        <v>0.5985</v>
      </c>
      <c r="Y119" s="382">
        <f>E119*1490000*12</f>
        <v>123398820</v>
      </c>
      <c r="Z119" s="394"/>
      <c r="AA119" s="346">
        <f t="shared" si="90"/>
        <v>6.924249999999999</v>
      </c>
      <c r="AB119" s="385">
        <v>2.67</v>
      </c>
      <c r="AC119" s="346">
        <f t="shared" si="84"/>
        <v>3.6534999999999997</v>
      </c>
      <c r="AD119" s="346">
        <v>0.7</v>
      </c>
      <c r="AE119" s="346"/>
      <c r="AF119" s="346"/>
      <c r="AG119" s="346">
        <f t="shared" si="85"/>
        <v>1.335</v>
      </c>
      <c r="AH119" s="346"/>
      <c r="AI119" s="346"/>
      <c r="AJ119" s="346"/>
      <c r="AK119" s="387">
        <f t="shared" si="86"/>
        <v>0.6675</v>
      </c>
      <c r="AL119" s="346"/>
      <c r="AM119" s="346"/>
      <c r="AN119" s="346"/>
      <c r="AO119" s="349"/>
      <c r="AP119" s="346">
        <f t="shared" si="87"/>
        <v>0.8009999999999999</v>
      </c>
      <c r="AQ119" s="369"/>
      <c r="AR119" s="346">
        <v>0.15</v>
      </c>
      <c r="AS119" s="472">
        <f t="shared" si="88"/>
        <v>0.60075</v>
      </c>
      <c r="AT119" s="314">
        <f t="shared" si="89"/>
        <v>123805589.99999997</v>
      </c>
      <c r="AU119" s="492"/>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row>
    <row r="120" spans="1:75" ht="15.75">
      <c r="A120" s="376">
        <v>31</v>
      </c>
      <c r="B120" s="16" t="s">
        <v>100</v>
      </c>
      <c r="C120" s="447"/>
      <c r="D120" s="447"/>
      <c r="E120" s="377">
        <f t="shared" si="77"/>
        <v>17.198999999999998</v>
      </c>
      <c r="F120" s="378">
        <f>6*2.34</f>
        <v>14.04</v>
      </c>
      <c r="G120" s="377">
        <f t="shared" si="78"/>
        <v>0</v>
      </c>
      <c r="H120" s="377"/>
      <c r="I120" s="377"/>
      <c r="J120" s="377"/>
      <c r="K120" s="377"/>
      <c r="L120" s="377"/>
      <c r="M120" s="377"/>
      <c r="N120" s="377"/>
      <c r="O120" s="380"/>
      <c r="P120" s="377"/>
      <c r="Q120" s="377"/>
      <c r="R120" s="377"/>
      <c r="S120" s="381"/>
      <c r="T120" s="377"/>
      <c r="U120" s="377"/>
      <c r="V120" s="377"/>
      <c r="W120" s="377"/>
      <c r="X120" s="377">
        <f>(F120+I120+J120)*22.5%</f>
        <v>3.159</v>
      </c>
      <c r="Y120" s="382">
        <f t="shared" si="79"/>
        <v>307518119.99999994</v>
      </c>
      <c r="Z120" s="394"/>
      <c r="AA120" s="346">
        <f t="shared" si="90"/>
        <v>6.173500000000001</v>
      </c>
      <c r="AB120" s="385">
        <v>2.34</v>
      </c>
      <c r="AC120" s="346">
        <f t="shared" si="84"/>
        <v>3.307</v>
      </c>
      <c r="AD120" s="346">
        <v>0.7</v>
      </c>
      <c r="AE120" s="346"/>
      <c r="AF120" s="346"/>
      <c r="AG120" s="346">
        <f t="shared" si="85"/>
        <v>1.17</v>
      </c>
      <c r="AH120" s="346"/>
      <c r="AI120" s="346"/>
      <c r="AJ120" s="346"/>
      <c r="AK120" s="387">
        <f t="shared" si="86"/>
        <v>0.585</v>
      </c>
      <c r="AL120" s="346"/>
      <c r="AM120" s="346"/>
      <c r="AN120" s="346"/>
      <c r="AO120" s="349"/>
      <c r="AP120" s="346">
        <f t="shared" si="87"/>
        <v>0.702</v>
      </c>
      <c r="AQ120" s="369"/>
      <c r="AR120" s="346">
        <v>0.15</v>
      </c>
      <c r="AS120" s="472">
        <f t="shared" si="88"/>
        <v>0.5265</v>
      </c>
      <c r="AT120" s="314">
        <f t="shared" si="89"/>
        <v>110382180.00000003</v>
      </c>
      <c r="AU120" s="24"/>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row>
    <row r="121" spans="1:75" ht="15.75">
      <c r="A121" s="316" t="s">
        <v>99</v>
      </c>
      <c r="B121" s="317" t="s">
        <v>98</v>
      </c>
      <c r="C121" s="445"/>
      <c r="D121" s="445"/>
      <c r="E121" s="299">
        <f aca="true" t="shared" si="91" ref="E121:Y121">SUM(E122:E123)</f>
        <v>0</v>
      </c>
      <c r="F121" s="299">
        <f t="shared" si="91"/>
        <v>0</v>
      </c>
      <c r="G121" s="299">
        <f t="shared" si="91"/>
        <v>0</v>
      </c>
      <c r="H121" s="299">
        <f t="shared" si="91"/>
        <v>0</v>
      </c>
      <c r="I121" s="299">
        <f t="shared" si="91"/>
        <v>0</v>
      </c>
      <c r="J121" s="299">
        <f t="shared" si="91"/>
        <v>0</v>
      </c>
      <c r="K121" s="299">
        <f t="shared" si="91"/>
        <v>0</v>
      </c>
      <c r="L121" s="299">
        <f t="shared" si="91"/>
        <v>0</v>
      </c>
      <c r="M121" s="299">
        <f t="shared" si="91"/>
        <v>0</v>
      </c>
      <c r="N121" s="299">
        <f t="shared" si="91"/>
        <v>0</v>
      </c>
      <c r="O121" s="299">
        <f t="shared" si="91"/>
        <v>0</v>
      </c>
      <c r="P121" s="299">
        <f t="shared" si="91"/>
        <v>0</v>
      </c>
      <c r="Q121" s="299">
        <f t="shared" si="91"/>
        <v>0</v>
      </c>
      <c r="R121" s="299">
        <f t="shared" si="91"/>
        <v>0</v>
      </c>
      <c r="S121" s="299">
        <f t="shared" si="91"/>
        <v>0</v>
      </c>
      <c r="T121" s="299">
        <f t="shared" si="91"/>
        <v>0</v>
      </c>
      <c r="U121" s="299">
        <f t="shared" si="91"/>
        <v>0</v>
      </c>
      <c r="V121" s="299">
        <f t="shared" si="91"/>
        <v>0</v>
      </c>
      <c r="W121" s="299">
        <f t="shared" si="91"/>
        <v>0</v>
      </c>
      <c r="X121" s="299">
        <f t="shared" si="91"/>
        <v>0</v>
      </c>
      <c r="Y121" s="299">
        <f t="shared" si="91"/>
        <v>0</v>
      </c>
      <c r="Z121" s="394"/>
      <c r="AA121" s="346">
        <f t="shared" si="90"/>
        <v>6.924249999999999</v>
      </c>
      <c r="AB121" s="385">
        <v>2.67</v>
      </c>
      <c r="AC121" s="346">
        <f t="shared" si="84"/>
        <v>3.6534999999999997</v>
      </c>
      <c r="AD121" s="346">
        <v>0.7</v>
      </c>
      <c r="AE121" s="346"/>
      <c r="AF121" s="346"/>
      <c r="AG121" s="346">
        <f t="shared" si="85"/>
        <v>1.335</v>
      </c>
      <c r="AH121" s="346"/>
      <c r="AI121" s="346"/>
      <c r="AJ121" s="346"/>
      <c r="AK121" s="387">
        <f t="shared" si="86"/>
        <v>0.6675</v>
      </c>
      <c r="AL121" s="346"/>
      <c r="AM121" s="346"/>
      <c r="AN121" s="346"/>
      <c r="AO121" s="349"/>
      <c r="AP121" s="346">
        <f t="shared" si="87"/>
        <v>0.8009999999999999</v>
      </c>
      <c r="AQ121" s="369"/>
      <c r="AR121" s="346">
        <v>0.15</v>
      </c>
      <c r="AS121" s="472">
        <f t="shared" si="88"/>
        <v>0.60075</v>
      </c>
      <c r="AT121" s="314">
        <f t="shared" si="89"/>
        <v>123805589.99999997</v>
      </c>
      <c r="AU121" s="23"/>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row>
    <row r="122" spans="1:75" ht="15.75">
      <c r="A122" s="398">
        <v>1</v>
      </c>
      <c r="B122" s="21" t="s">
        <v>97</v>
      </c>
      <c r="C122" s="449"/>
      <c r="D122" s="449"/>
      <c r="E122" s="304">
        <f>F122+G122+X122</f>
        <v>0</v>
      </c>
      <c r="F122" s="306"/>
      <c r="G122" s="304">
        <f>H122+I122+J122+K122+L122+M122+N122+O122+P122+Q122+R122+S122+T122+U122+W122</f>
        <v>0</v>
      </c>
      <c r="H122" s="299"/>
      <c r="I122" s="299"/>
      <c r="J122" s="299"/>
      <c r="K122" s="299"/>
      <c r="L122" s="299"/>
      <c r="M122" s="299"/>
      <c r="N122" s="299"/>
      <c r="O122" s="299"/>
      <c r="P122" s="299"/>
      <c r="Q122" s="299"/>
      <c r="R122" s="304"/>
      <c r="S122" s="306"/>
      <c r="T122" s="299"/>
      <c r="U122" s="299"/>
      <c r="V122" s="299"/>
      <c r="W122" s="299"/>
      <c r="X122" s="299"/>
      <c r="Y122" s="307">
        <f>E122*1490000*12</f>
        <v>0</v>
      </c>
      <c r="Z122" s="399"/>
      <c r="AA122" s="346">
        <f t="shared" si="90"/>
        <v>6.041499999999999</v>
      </c>
      <c r="AB122" s="385">
        <v>2.26</v>
      </c>
      <c r="AC122" s="346">
        <f t="shared" si="84"/>
        <v>3.2729999999999997</v>
      </c>
      <c r="AD122" s="346">
        <v>0.7</v>
      </c>
      <c r="AE122" s="346"/>
      <c r="AF122" s="346"/>
      <c r="AG122" s="346">
        <f t="shared" si="85"/>
        <v>1.13</v>
      </c>
      <c r="AH122" s="346"/>
      <c r="AI122" s="346"/>
      <c r="AJ122" s="346"/>
      <c r="AK122" s="387">
        <f t="shared" si="86"/>
        <v>0.565</v>
      </c>
      <c r="AL122" s="346"/>
      <c r="AM122" s="346"/>
      <c r="AN122" s="346"/>
      <c r="AO122" s="349"/>
      <c r="AP122" s="346">
        <f t="shared" si="87"/>
        <v>0.6779999999999999</v>
      </c>
      <c r="AQ122" s="399"/>
      <c r="AR122" s="346">
        <f>0.05+0.15</f>
        <v>0.2</v>
      </c>
      <c r="AS122" s="472">
        <f t="shared" si="88"/>
        <v>0.5085</v>
      </c>
      <c r="AT122" s="314">
        <f t="shared" si="89"/>
        <v>108022019.99999997</v>
      </c>
      <c r="AU122" s="18"/>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row>
    <row r="123" spans="1:75" ht="15.75">
      <c r="A123" s="400">
        <v>2</v>
      </c>
      <c r="B123" s="367" t="s">
        <v>72</v>
      </c>
      <c r="C123" s="450"/>
      <c r="D123" s="450"/>
      <c r="E123" s="304">
        <f>F123+G123+X123</f>
        <v>0</v>
      </c>
      <c r="F123" s="401"/>
      <c r="G123" s="304">
        <f>H123+I123+J123+K123+L123+M123+N123+O123+P123+Q123+R123+S123+T123+U123+W123</f>
        <v>0</v>
      </c>
      <c r="H123" s="304"/>
      <c r="I123" s="304"/>
      <c r="J123" s="304"/>
      <c r="K123" s="304"/>
      <c r="L123" s="304"/>
      <c r="M123" s="304"/>
      <c r="N123" s="304"/>
      <c r="O123" s="345"/>
      <c r="P123" s="304"/>
      <c r="Q123" s="304"/>
      <c r="R123" s="304"/>
      <c r="S123" s="305"/>
      <c r="T123" s="304"/>
      <c r="U123" s="304"/>
      <c r="V123" s="304"/>
      <c r="W123" s="304"/>
      <c r="X123" s="304"/>
      <c r="Y123" s="307">
        <f>E123*1490000*12</f>
        <v>0</v>
      </c>
      <c r="Z123" s="399"/>
      <c r="AA123" s="346">
        <f t="shared" si="90"/>
        <v>6.173500000000001</v>
      </c>
      <c r="AB123" s="385">
        <v>2.34</v>
      </c>
      <c r="AC123" s="346">
        <f t="shared" si="84"/>
        <v>3.307</v>
      </c>
      <c r="AD123" s="346">
        <v>0.7</v>
      </c>
      <c r="AE123" s="346"/>
      <c r="AF123" s="346"/>
      <c r="AG123" s="346">
        <f t="shared" si="85"/>
        <v>1.17</v>
      </c>
      <c r="AH123" s="346"/>
      <c r="AI123" s="346"/>
      <c r="AJ123" s="346"/>
      <c r="AK123" s="387">
        <f t="shared" si="86"/>
        <v>0.585</v>
      </c>
      <c r="AL123" s="346"/>
      <c r="AM123" s="346"/>
      <c r="AN123" s="346"/>
      <c r="AO123" s="349"/>
      <c r="AP123" s="346">
        <f t="shared" si="87"/>
        <v>0.702</v>
      </c>
      <c r="AQ123" s="399"/>
      <c r="AR123" s="346">
        <v>0.15</v>
      </c>
      <c r="AS123" s="472">
        <f t="shared" si="88"/>
        <v>0.5265</v>
      </c>
      <c r="AT123" s="314">
        <f t="shared" si="89"/>
        <v>110382180.00000003</v>
      </c>
      <c r="AU123" s="18"/>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row>
    <row r="124" spans="1:75" ht="15.75">
      <c r="A124" s="400" t="s">
        <v>96</v>
      </c>
      <c r="B124" s="296" t="s">
        <v>95</v>
      </c>
      <c r="C124" s="445">
        <f aca="true" t="shared" si="92" ref="C124:Y124">C125+C130+C134+C137+C141</f>
        <v>12</v>
      </c>
      <c r="D124" s="445">
        <f t="shared" si="92"/>
        <v>11</v>
      </c>
      <c r="E124" s="299">
        <f t="shared" si="92"/>
        <v>103.44330000000002</v>
      </c>
      <c r="F124" s="299">
        <f t="shared" si="92"/>
        <v>38.91</v>
      </c>
      <c r="G124" s="299">
        <f t="shared" si="92"/>
        <v>55.119</v>
      </c>
      <c r="H124" s="299">
        <f t="shared" si="92"/>
        <v>8.399999999999999</v>
      </c>
      <c r="I124" s="299">
        <f t="shared" si="92"/>
        <v>2.55</v>
      </c>
      <c r="J124" s="299">
        <f t="shared" si="92"/>
        <v>0</v>
      </c>
      <c r="K124" s="299">
        <f t="shared" si="92"/>
        <v>20.73</v>
      </c>
      <c r="L124" s="299">
        <f t="shared" si="92"/>
        <v>0</v>
      </c>
      <c r="M124" s="299">
        <f t="shared" si="92"/>
        <v>0</v>
      </c>
      <c r="N124" s="299">
        <f t="shared" si="92"/>
        <v>0</v>
      </c>
      <c r="O124" s="299">
        <f t="shared" si="92"/>
        <v>10.365</v>
      </c>
      <c r="P124" s="299">
        <f t="shared" si="92"/>
        <v>0</v>
      </c>
      <c r="Q124" s="299">
        <f t="shared" si="92"/>
        <v>0</v>
      </c>
      <c r="R124" s="299">
        <f t="shared" si="92"/>
        <v>0</v>
      </c>
      <c r="S124" s="299">
        <f t="shared" si="92"/>
        <v>0</v>
      </c>
      <c r="T124" s="299">
        <f t="shared" si="92"/>
        <v>12.437999999999999</v>
      </c>
      <c r="U124" s="299">
        <f t="shared" si="92"/>
        <v>0</v>
      </c>
      <c r="V124" s="299">
        <f t="shared" si="92"/>
        <v>0.636</v>
      </c>
      <c r="W124" s="299">
        <f t="shared" si="92"/>
        <v>0</v>
      </c>
      <c r="X124" s="299">
        <f t="shared" si="92"/>
        <v>9.414300000000003</v>
      </c>
      <c r="Y124" s="299">
        <f t="shared" si="92"/>
        <v>1849566204</v>
      </c>
      <c r="Z124" s="399"/>
      <c r="AA124" s="346">
        <f t="shared" si="90"/>
        <v>6.173500000000001</v>
      </c>
      <c r="AB124" s="385">
        <v>2.34</v>
      </c>
      <c r="AC124" s="346">
        <f t="shared" si="84"/>
        <v>3.307</v>
      </c>
      <c r="AD124" s="346">
        <v>0.7</v>
      </c>
      <c r="AE124" s="346"/>
      <c r="AF124" s="346"/>
      <c r="AG124" s="346">
        <f t="shared" si="85"/>
        <v>1.17</v>
      </c>
      <c r="AH124" s="346"/>
      <c r="AI124" s="346"/>
      <c r="AJ124" s="346"/>
      <c r="AK124" s="387">
        <f t="shared" si="86"/>
        <v>0.585</v>
      </c>
      <c r="AL124" s="346"/>
      <c r="AM124" s="346"/>
      <c r="AN124" s="346"/>
      <c r="AO124" s="349"/>
      <c r="AP124" s="346">
        <f t="shared" si="87"/>
        <v>0.702</v>
      </c>
      <c r="AQ124" s="399"/>
      <c r="AR124" s="346">
        <v>0.15</v>
      </c>
      <c r="AS124" s="472">
        <f t="shared" si="88"/>
        <v>0.5265</v>
      </c>
      <c r="AT124" s="314">
        <f t="shared" si="89"/>
        <v>110382180.00000003</v>
      </c>
      <c r="AU124" s="18"/>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row>
    <row r="125" spans="1:75" ht="15.75">
      <c r="A125" s="400" t="s">
        <v>94</v>
      </c>
      <c r="B125" s="296" t="s">
        <v>93</v>
      </c>
      <c r="C125" s="449">
        <v>4</v>
      </c>
      <c r="D125" s="449">
        <v>4</v>
      </c>
      <c r="E125" s="299">
        <f aca="true" t="shared" si="93" ref="E125:X125">SUM(E126:E129)</f>
        <v>40.19415</v>
      </c>
      <c r="F125" s="299">
        <f t="shared" si="93"/>
        <v>15.18</v>
      </c>
      <c r="G125" s="299">
        <f t="shared" si="93"/>
        <v>21.322499999999998</v>
      </c>
      <c r="H125" s="299">
        <f t="shared" si="93"/>
        <v>2.8</v>
      </c>
      <c r="I125" s="299">
        <f t="shared" si="93"/>
        <v>0.9500000000000001</v>
      </c>
      <c r="J125" s="299">
        <f t="shared" si="93"/>
        <v>0</v>
      </c>
      <c r="K125" s="299">
        <f t="shared" si="93"/>
        <v>8.065000000000001</v>
      </c>
      <c r="L125" s="299">
        <f t="shared" si="93"/>
        <v>0</v>
      </c>
      <c r="M125" s="299">
        <f t="shared" si="93"/>
        <v>0</v>
      </c>
      <c r="N125" s="299">
        <f t="shared" si="93"/>
        <v>0</v>
      </c>
      <c r="O125" s="299">
        <f t="shared" si="93"/>
        <v>4.032500000000001</v>
      </c>
      <c r="P125" s="299">
        <f t="shared" si="93"/>
        <v>0</v>
      </c>
      <c r="Q125" s="299">
        <f t="shared" si="93"/>
        <v>0</v>
      </c>
      <c r="R125" s="299">
        <f t="shared" si="93"/>
        <v>0</v>
      </c>
      <c r="S125" s="299">
        <f t="shared" si="93"/>
        <v>0</v>
      </c>
      <c r="T125" s="299">
        <f t="shared" si="93"/>
        <v>4.8389999999999995</v>
      </c>
      <c r="U125" s="299">
        <f t="shared" si="93"/>
        <v>0</v>
      </c>
      <c r="V125" s="299">
        <f t="shared" si="93"/>
        <v>0.636</v>
      </c>
      <c r="W125" s="299">
        <f t="shared" si="93"/>
        <v>0</v>
      </c>
      <c r="X125" s="299">
        <f t="shared" si="93"/>
        <v>3.69165</v>
      </c>
      <c r="Y125" s="300">
        <f>ROUNDUP(SUM(Y126:Y129),0)</f>
        <v>718671402</v>
      </c>
      <c r="Z125" s="399"/>
      <c r="AA125" s="346">
        <f t="shared" si="90"/>
        <v>6.924249999999999</v>
      </c>
      <c r="AB125" s="349">
        <v>2.67</v>
      </c>
      <c r="AC125" s="346">
        <f t="shared" si="84"/>
        <v>3.6534999999999997</v>
      </c>
      <c r="AD125" s="346">
        <v>0.7</v>
      </c>
      <c r="AE125" s="346"/>
      <c r="AF125" s="346"/>
      <c r="AG125" s="346">
        <f>(AB125+AE125)*50%</f>
        <v>1.335</v>
      </c>
      <c r="AH125" s="346"/>
      <c r="AI125" s="346"/>
      <c r="AJ125" s="346"/>
      <c r="AK125" s="347">
        <f>(AB125+AE125)*25%</f>
        <v>0.6675</v>
      </c>
      <c r="AL125" s="346"/>
      <c r="AM125" s="346"/>
      <c r="AN125" s="346"/>
      <c r="AO125" s="349"/>
      <c r="AP125" s="346">
        <f t="shared" si="87"/>
        <v>0.8009999999999999</v>
      </c>
      <c r="AQ125" s="399"/>
      <c r="AR125" s="346">
        <v>0.15</v>
      </c>
      <c r="AS125" s="472">
        <f t="shared" si="88"/>
        <v>0.60075</v>
      </c>
      <c r="AT125" s="314">
        <f t="shared" si="89"/>
        <v>123805589.99999997</v>
      </c>
      <c r="AU125" s="18"/>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row>
    <row r="126" spans="1:75" ht="15.75">
      <c r="A126" s="402">
        <v>1</v>
      </c>
      <c r="B126" s="403" t="s">
        <v>92</v>
      </c>
      <c r="C126" s="447"/>
      <c r="D126" s="447"/>
      <c r="E126" s="377">
        <f>F126+G126+X126</f>
        <v>15.804999999999998</v>
      </c>
      <c r="F126" s="404">
        <v>5.76</v>
      </c>
      <c r="G126" s="377">
        <f>SUM(H126:W126)</f>
        <v>8.613999999999999</v>
      </c>
      <c r="H126" s="377">
        <v>0.7</v>
      </c>
      <c r="I126" s="377">
        <v>0.6</v>
      </c>
      <c r="J126" s="377"/>
      <c r="K126" s="377">
        <f>(F126+I126+J126)*0.5</f>
        <v>3.1799999999999997</v>
      </c>
      <c r="L126" s="377"/>
      <c r="M126" s="377"/>
      <c r="N126" s="377"/>
      <c r="O126" s="377">
        <f>(F126+I126+J126)*0.25</f>
        <v>1.5899999999999999</v>
      </c>
      <c r="P126" s="377"/>
      <c r="Q126" s="377"/>
      <c r="R126" s="377"/>
      <c r="S126" s="381"/>
      <c r="T126" s="377">
        <f>(F126+I126+J126)*30%</f>
        <v>1.9079999999999997</v>
      </c>
      <c r="U126" s="377"/>
      <c r="V126" s="377">
        <f>0.1*(F126+I126)</f>
        <v>0.636</v>
      </c>
      <c r="W126" s="377"/>
      <c r="X126" s="377">
        <f>(F126+I126+J126+M126)*0.225</f>
        <v>1.4309999999999998</v>
      </c>
      <c r="Y126" s="382">
        <f>E126*1490000*12</f>
        <v>282593399.99999994</v>
      </c>
      <c r="Z126" s="399"/>
      <c r="AA126" s="346">
        <f t="shared" si="90"/>
        <v>6.9015</v>
      </c>
      <c r="AB126" s="349">
        <v>2.66</v>
      </c>
      <c r="AC126" s="346">
        <f t="shared" si="84"/>
        <v>3.6430000000000002</v>
      </c>
      <c r="AD126" s="346">
        <v>0.7</v>
      </c>
      <c r="AE126" s="346"/>
      <c r="AF126" s="346"/>
      <c r="AG126" s="346">
        <f>(AB126+AE126)*50%</f>
        <v>1.33</v>
      </c>
      <c r="AH126" s="346"/>
      <c r="AI126" s="346"/>
      <c r="AJ126" s="346"/>
      <c r="AK126" s="347">
        <f>(AB126+AE126)*25%</f>
        <v>0.665</v>
      </c>
      <c r="AL126" s="346"/>
      <c r="AM126" s="346"/>
      <c r="AN126" s="346"/>
      <c r="AO126" s="349"/>
      <c r="AP126" s="346">
        <f t="shared" si="87"/>
        <v>0.798</v>
      </c>
      <c r="AQ126" s="399"/>
      <c r="AR126" s="346">
        <v>0.15</v>
      </c>
      <c r="AS126" s="472">
        <f t="shared" si="88"/>
        <v>0.5985</v>
      </c>
      <c r="AT126" s="314">
        <f>AA126*1490000*5</f>
        <v>51416175</v>
      </c>
      <c r="AU126" s="24"/>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row>
    <row r="127" spans="1:75" ht="15.75">
      <c r="A127" s="402">
        <v>2</v>
      </c>
      <c r="B127" s="403" t="s">
        <v>91</v>
      </c>
      <c r="C127" s="447"/>
      <c r="D127" s="447"/>
      <c r="E127" s="377">
        <f>F127+G127+X127</f>
        <v>8.73075</v>
      </c>
      <c r="F127" s="404">
        <v>3.33</v>
      </c>
      <c r="G127" s="377">
        <f>SUM(H127:W127)</f>
        <v>4.6065000000000005</v>
      </c>
      <c r="H127" s="377">
        <v>0.7</v>
      </c>
      <c r="I127" s="377">
        <v>0.2</v>
      </c>
      <c r="J127" s="377"/>
      <c r="K127" s="377">
        <f>(F127+I127+J127)*0.5</f>
        <v>1.7650000000000001</v>
      </c>
      <c r="L127" s="377"/>
      <c r="M127" s="377"/>
      <c r="N127" s="377"/>
      <c r="O127" s="377">
        <f>(F127+I127+J127)*0.25</f>
        <v>0.8825000000000001</v>
      </c>
      <c r="P127" s="377"/>
      <c r="Q127" s="377"/>
      <c r="R127" s="377"/>
      <c r="S127" s="381"/>
      <c r="T127" s="377">
        <f>(F127+I127+J127)*30%</f>
        <v>1.059</v>
      </c>
      <c r="U127" s="377"/>
      <c r="V127" s="377"/>
      <c r="W127" s="377"/>
      <c r="X127" s="377">
        <f>(F127+I127+J127+M127)*0.225</f>
        <v>0.7942500000000001</v>
      </c>
      <c r="Y127" s="382">
        <f>E127*1490000*12</f>
        <v>156105810</v>
      </c>
      <c r="Z127" s="405"/>
      <c r="AA127" s="389">
        <f>AB127+AC127+AS127</f>
        <v>7.356499999999999</v>
      </c>
      <c r="AB127" s="392">
        <v>2.86</v>
      </c>
      <c r="AC127" s="389">
        <f>SUM(AD127:AR127)</f>
        <v>3.8529999999999998</v>
      </c>
      <c r="AD127" s="389">
        <v>0.7</v>
      </c>
      <c r="AE127" s="389"/>
      <c r="AF127" s="389"/>
      <c r="AG127" s="389">
        <f>(AB127+AE127)*50%</f>
        <v>1.43</v>
      </c>
      <c r="AH127" s="389"/>
      <c r="AI127" s="389"/>
      <c r="AJ127" s="389"/>
      <c r="AK127" s="406">
        <f>(AB127+AE127)*25%</f>
        <v>0.715</v>
      </c>
      <c r="AL127" s="389"/>
      <c r="AM127" s="389"/>
      <c r="AN127" s="389"/>
      <c r="AO127" s="392"/>
      <c r="AP127" s="389">
        <f>(AB127+AE127+AF127)*30%</f>
        <v>0.858</v>
      </c>
      <c r="AQ127" s="405"/>
      <c r="AR127" s="389">
        <v>0.15</v>
      </c>
      <c r="AS127" s="474">
        <f>(AB127+AE127)*22.5%</f>
        <v>0.6435</v>
      </c>
      <c r="AT127" s="314">
        <f>AA127*1490000*7</f>
        <v>76728294.99999999</v>
      </c>
      <c r="AU127" s="24"/>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row>
    <row r="128" spans="1:75" ht="15.75">
      <c r="A128" s="402">
        <v>3</v>
      </c>
      <c r="B128" s="403" t="s">
        <v>90</v>
      </c>
      <c r="C128" s="447"/>
      <c r="D128" s="447"/>
      <c r="E128" s="377">
        <f>F128+G128+X128</f>
        <v>5.4985</v>
      </c>
      <c r="F128" s="404">
        <v>2.1</v>
      </c>
      <c r="G128" s="377">
        <f>SUM(H128:W128)</f>
        <v>2.905</v>
      </c>
      <c r="H128" s="377">
        <v>0.7</v>
      </c>
      <c r="I128" s="377"/>
      <c r="J128" s="377"/>
      <c r="K128" s="377">
        <f>(F128+I128+J128)*0.5</f>
        <v>1.05</v>
      </c>
      <c r="L128" s="377"/>
      <c r="M128" s="377"/>
      <c r="N128" s="377"/>
      <c r="O128" s="377">
        <f>(F128+I128+J128)*0.25</f>
        <v>0.525</v>
      </c>
      <c r="P128" s="377"/>
      <c r="Q128" s="377"/>
      <c r="R128" s="377"/>
      <c r="S128" s="381"/>
      <c r="T128" s="377">
        <f>(F128+I128+J128)*30%</f>
        <v>0.63</v>
      </c>
      <c r="U128" s="377"/>
      <c r="V128" s="377"/>
      <c r="W128" s="377"/>
      <c r="X128" s="377">
        <f>(F128+I128+J128+M128)*0.235</f>
        <v>0.4935</v>
      </c>
      <c r="Y128" s="382">
        <f>E128*1490000*12</f>
        <v>98313180</v>
      </c>
      <c r="Z128" s="399"/>
      <c r="AA128" s="346">
        <f t="shared" si="90"/>
        <v>17.198999999999998</v>
      </c>
      <c r="AB128" s="385">
        <f>6*2.34</f>
        <v>14.04</v>
      </c>
      <c r="AC128" s="346">
        <f t="shared" si="84"/>
        <v>0</v>
      </c>
      <c r="AD128" s="346"/>
      <c r="AE128" s="346"/>
      <c r="AF128" s="346"/>
      <c r="AG128" s="346"/>
      <c r="AH128" s="346"/>
      <c r="AI128" s="346"/>
      <c r="AJ128" s="346"/>
      <c r="AK128" s="387"/>
      <c r="AL128" s="346"/>
      <c r="AM128" s="346"/>
      <c r="AN128" s="346"/>
      <c r="AO128" s="349"/>
      <c r="AP128" s="346"/>
      <c r="AQ128" s="399"/>
      <c r="AR128" s="346"/>
      <c r="AS128" s="473">
        <f t="shared" si="88"/>
        <v>3.159</v>
      </c>
      <c r="AT128" s="314">
        <f t="shared" si="89"/>
        <v>307518119.99999994</v>
      </c>
      <c r="AU128" s="24"/>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row>
    <row r="129" spans="1:75" ht="15.75">
      <c r="A129" s="402">
        <v>4</v>
      </c>
      <c r="B129" s="403" t="s">
        <v>89</v>
      </c>
      <c r="C129" s="447"/>
      <c r="D129" s="447"/>
      <c r="E129" s="377">
        <f>F129+G129+X129</f>
        <v>10.1599</v>
      </c>
      <c r="F129" s="404">
        <v>3.99</v>
      </c>
      <c r="G129" s="377">
        <f>SUM(H129:W129)</f>
        <v>5.197000000000001</v>
      </c>
      <c r="H129" s="377">
        <v>0.7</v>
      </c>
      <c r="I129" s="377">
        <v>0.15</v>
      </c>
      <c r="J129" s="377"/>
      <c r="K129" s="377">
        <f>(F129+I129+J129)*0.5</f>
        <v>2.0700000000000003</v>
      </c>
      <c r="L129" s="377"/>
      <c r="M129" s="377"/>
      <c r="N129" s="377"/>
      <c r="O129" s="377">
        <f>(F129+I129+J129)*0.25</f>
        <v>1.0350000000000001</v>
      </c>
      <c r="P129" s="377"/>
      <c r="Q129" s="377"/>
      <c r="R129" s="377"/>
      <c r="S129" s="381"/>
      <c r="T129" s="377">
        <f>(F129+I129+J129)*30%</f>
        <v>1.2420000000000002</v>
      </c>
      <c r="U129" s="377"/>
      <c r="V129" s="377"/>
      <c r="W129" s="377"/>
      <c r="X129" s="377">
        <f>(F129+I129+J129+M129)*0.235</f>
        <v>0.9729000000000001</v>
      </c>
      <c r="Y129" s="382">
        <f>E129*1490000*12</f>
        <v>181659012</v>
      </c>
      <c r="Z129" s="399"/>
      <c r="AA129" s="407"/>
      <c r="AB129" s="407"/>
      <c r="AC129" s="407"/>
      <c r="AD129" s="407"/>
      <c r="AE129" s="407"/>
      <c r="AF129" s="407"/>
      <c r="AG129" s="407"/>
      <c r="AH129" s="407"/>
      <c r="AI129" s="407"/>
      <c r="AJ129" s="407"/>
      <c r="AK129" s="407"/>
      <c r="AL129" s="407"/>
      <c r="AM129" s="407"/>
      <c r="AN129" s="407"/>
      <c r="AO129" s="407"/>
      <c r="AP129" s="407"/>
      <c r="AQ129" s="407"/>
      <c r="AR129" s="407"/>
      <c r="AS129" s="475"/>
      <c r="AT129" s="407"/>
      <c r="AU129" s="24"/>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row>
    <row r="130" spans="1:75" ht="15.75">
      <c r="A130" s="400" t="s">
        <v>88</v>
      </c>
      <c r="B130" s="296" t="s">
        <v>87</v>
      </c>
      <c r="C130" s="449">
        <v>2</v>
      </c>
      <c r="D130" s="449">
        <v>2</v>
      </c>
      <c r="E130" s="299">
        <f aca="true" t="shared" si="94" ref="E130:U130">E131</f>
        <v>18.3715</v>
      </c>
      <c r="F130" s="306">
        <f t="shared" si="94"/>
        <v>6.96</v>
      </c>
      <c r="G130" s="299">
        <f t="shared" si="94"/>
        <v>9.733</v>
      </c>
      <c r="H130" s="299">
        <f t="shared" si="94"/>
        <v>1.4</v>
      </c>
      <c r="I130" s="299">
        <f t="shared" si="94"/>
        <v>0.5</v>
      </c>
      <c r="J130" s="299">
        <f t="shared" si="94"/>
        <v>0</v>
      </c>
      <c r="K130" s="299">
        <f t="shared" si="94"/>
        <v>3.73</v>
      </c>
      <c r="L130" s="299">
        <f t="shared" si="94"/>
        <v>0</v>
      </c>
      <c r="M130" s="299">
        <f t="shared" si="94"/>
        <v>0</v>
      </c>
      <c r="N130" s="299">
        <f t="shared" si="94"/>
        <v>0</v>
      </c>
      <c r="O130" s="299">
        <f t="shared" si="94"/>
        <v>1.865</v>
      </c>
      <c r="P130" s="299">
        <f t="shared" si="94"/>
        <v>0</v>
      </c>
      <c r="Q130" s="299">
        <f t="shared" si="94"/>
        <v>0</v>
      </c>
      <c r="R130" s="299">
        <f t="shared" si="94"/>
        <v>0</v>
      </c>
      <c r="S130" s="306">
        <f t="shared" si="94"/>
        <v>0</v>
      </c>
      <c r="T130" s="299">
        <f t="shared" si="94"/>
        <v>2.2379999999999995</v>
      </c>
      <c r="U130" s="299">
        <f t="shared" si="94"/>
        <v>0</v>
      </c>
      <c r="V130" s="299"/>
      <c r="W130" s="299">
        <f>W131</f>
        <v>0</v>
      </c>
      <c r="X130" s="299">
        <f>X131</f>
        <v>1.6785</v>
      </c>
      <c r="Y130" s="300">
        <f>Y131</f>
        <v>328482420</v>
      </c>
      <c r="Z130" s="408">
        <v>4</v>
      </c>
      <c r="AA130" s="408">
        <f>SUM(AA131:AA134)</f>
        <v>38.747749999999996</v>
      </c>
      <c r="AB130" s="408">
        <f aca="true" t="shared" si="95" ref="AB130:AS130">SUM(AB131:AB134)</f>
        <v>15.42</v>
      </c>
      <c r="AC130" s="408">
        <f t="shared" si="95"/>
        <v>19.6445</v>
      </c>
      <c r="AD130" s="408">
        <f t="shared" si="95"/>
        <v>2.0999999999999996</v>
      </c>
      <c r="AE130" s="408">
        <f t="shared" si="95"/>
        <v>0.9500000000000001</v>
      </c>
      <c r="AF130" s="408">
        <f t="shared" si="95"/>
        <v>0</v>
      </c>
      <c r="AG130" s="408">
        <f t="shared" si="95"/>
        <v>7.015000000000001</v>
      </c>
      <c r="AH130" s="408">
        <f t="shared" si="95"/>
        <v>0</v>
      </c>
      <c r="AI130" s="408">
        <f t="shared" si="95"/>
        <v>0</v>
      </c>
      <c r="AJ130" s="408">
        <f t="shared" si="95"/>
        <v>0</v>
      </c>
      <c r="AK130" s="408">
        <f t="shared" si="95"/>
        <v>3.5075000000000003</v>
      </c>
      <c r="AL130" s="408">
        <f t="shared" si="95"/>
        <v>0</v>
      </c>
      <c r="AM130" s="408">
        <f t="shared" si="95"/>
        <v>0</v>
      </c>
      <c r="AN130" s="408">
        <f t="shared" si="95"/>
        <v>0</v>
      </c>
      <c r="AO130" s="408">
        <f t="shared" si="95"/>
        <v>0</v>
      </c>
      <c r="AP130" s="408">
        <f t="shared" si="95"/>
        <v>4.209</v>
      </c>
      <c r="AQ130" s="408">
        <f t="shared" si="95"/>
        <v>1.4030000000000002</v>
      </c>
      <c r="AR130" s="408">
        <f t="shared" si="95"/>
        <v>0.45999999999999996</v>
      </c>
      <c r="AS130" s="476">
        <f t="shared" si="95"/>
        <v>3.68325</v>
      </c>
      <c r="AT130" s="409">
        <f>SUM(AT131:AT135)</f>
        <v>696700160</v>
      </c>
      <c r="AU130" s="18"/>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row>
    <row r="131" spans="1:75" ht="15.75">
      <c r="A131" s="400">
        <v>1</v>
      </c>
      <c r="B131" s="296" t="s">
        <v>86</v>
      </c>
      <c r="C131" s="449"/>
      <c r="D131" s="449"/>
      <c r="E131" s="299">
        <f aca="true" t="shared" si="96" ref="E131:X131">E132+E133</f>
        <v>18.3715</v>
      </c>
      <c r="F131" s="299">
        <f t="shared" si="96"/>
        <v>6.96</v>
      </c>
      <c r="G131" s="299">
        <f t="shared" si="96"/>
        <v>9.733</v>
      </c>
      <c r="H131" s="299">
        <f t="shared" si="96"/>
        <v>1.4</v>
      </c>
      <c r="I131" s="299">
        <f t="shared" si="96"/>
        <v>0.5</v>
      </c>
      <c r="J131" s="299">
        <f t="shared" si="96"/>
        <v>0</v>
      </c>
      <c r="K131" s="299">
        <f t="shared" si="96"/>
        <v>3.73</v>
      </c>
      <c r="L131" s="299">
        <f t="shared" si="96"/>
        <v>0</v>
      </c>
      <c r="M131" s="299">
        <f t="shared" si="96"/>
        <v>0</v>
      </c>
      <c r="N131" s="299">
        <f t="shared" si="96"/>
        <v>0</v>
      </c>
      <c r="O131" s="299">
        <f t="shared" si="96"/>
        <v>1.865</v>
      </c>
      <c r="P131" s="299">
        <f t="shared" si="96"/>
        <v>0</v>
      </c>
      <c r="Q131" s="299">
        <f t="shared" si="96"/>
        <v>0</v>
      </c>
      <c r="R131" s="299">
        <f t="shared" si="96"/>
        <v>0</v>
      </c>
      <c r="S131" s="299">
        <f t="shared" si="96"/>
        <v>0</v>
      </c>
      <c r="T131" s="299">
        <f t="shared" si="96"/>
        <v>2.2379999999999995</v>
      </c>
      <c r="U131" s="299">
        <f t="shared" si="96"/>
        <v>0</v>
      </c>
      <c r="V131" s="299">
        <f t="shared" si="96"/>
        <v>0</v>
      </c>
      <c r="W131" s="299">
        <f t="shared" si="96"/>
        <v>0</v>
      </c>
      <c r="X131" s="299">
        <f t="shared" si="96"/>
        <v>1.6785</v>
      </c>
      <c r="Y131" s="300">
        <f>ROUNDUP(SUM(Y132:Y133),0)</f>
        <v>328482420</v>
      </c>
      <c r="Z131" s="313"/>
      <c r="AA131" s="332">
        <f>AB131+AC131+AS131</f>
        <v>16.044999999999998</v>
      </c>
      <c r="AB131" s="410">
        <v>5.76</v>
      </c>
      <c r="AC131" s="332">
        <f>SUM(AD131:AR131)</f>
        <v>8.854</v>
      </c>
      <c r="AD131" s="332">
        <v>0.7</v>
      </c>
      <c r="AE131" s="411">
        <v>0.6</v>
      </c>
      <c r="AF131" s="332"/>
      <c r="AG131" s="332">
        <f>(AB131+AE131)*50%</f>
        <v>3.1799999999999997</v>
      </c>
      <c r="AH131" s="332"/>
      <c r="AI131" s="332"/>
      <c r="AJ131" s="332"/>
      <c r="AK131" s="332">
        <f>(AB131+AE131)*25%</f>
        <v>1.5899999999999999</v>
      </c>
      <c r="AL131" s="332"/>
      <c r="AM131" s="332"/>
      <c r="AN131" s="332"/>
      <c r="AO131" s="332"/>
      <c r="AP131" s="332">
        <f>(AB131+AE131)*30%</f>
        <v>1.9079999999999997</v>
      </c>
      <c r="AQ131" s="332">
        <f>(AB131+AE131)*10%</f>
        <v>0.636</v>
      </c>
      <c r="AR131" s="332">
        <v>0.24</v>
      </c>
      <c r="AS131" s="462">
        <f>(AB131+AE131)*22.5%</f>
        <v>1.4309999999999998</v>
      </c>
      <c r="AT131" s="333">
        <f>AA131*12*1490000</f>
        <v>286884599.99999994</v>
      </c>
      <c r="AU131" s="18"/>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row>
    <row r="132" spans="1:75" ht="15.75">
      <c r="A132" s="400">
        <v>1</v>
      </c>
      <c r="B132" s="367" t="s">
        <v>38</v>
      </c>
      <c r="C132" s="450"/>
      <c r="D132" s="450"/>
      <c r="E132" s="304">
        <f>F132+G132+X132</f>
        <v>10.3915</v>
      </c>
      <c r="F132" s="401">
        <v>3.96</v>
      </c>
      <c r="G132" s="304">
        <f>SUM(H132:W132)</f>
        <v>5.473</v>
      </c>
      <c r="H132" s="304">
        <v>0.7</v>
      </c>
      <c r="I132" s="304">
        <v>0.3</v>
      </c>
      <c r="J132" s="304"/>
      <c r="K132" s="304">
        <f>(F132+I132+J132)*0.5</f>
        <v>2.13</v>
      </c>
      <c r="L132" s="304"/>
      <c r="M132" s="304"/>
      <c r="N132" s="304"/>
      <c r="O132" s="304">
        <f>(F132+I132+J132+M132)*0.25</f>
        <v>1.065</v>
      </c>
      <c r="P132" s="304"/>
      <c r="Q132" s="304"/>
      <c r="R132" s="304"/>
      <c r="S132" s="305"/>
      <c r="T132" s="304">
        <f>(F132+I132+J132)*30%</f>
        <v>1.2779999999999998</v>
      </c>
      <c r="U132" s="304"/>
      <c r="V132" s="304"/>
      <c r="W132" s="304"/>
      <c r="X132" s="304">
        <f>(F132+I132+J132+M132)*0.225</f>
        <v>0.9585</v>
      </c>
      <c r="Y132" s="307">
        <f>E132*1490000*12</f>
        <v>185800020</v>
      </c>
      <c r="Z132" s="334"/>
      <c r="AA132" s="332">
        <f>AB132+AC132+AS132</f>
        <v>9.08375</v>
      </c>
      <c r="AB132" s="410">
        <v>3.33</v>
      </c>
      <c r="AC132" s="332">
        <f>SUM(AD132:AR132)</f>
        <v>4.9595</v>
      </c>
      <c r="AD132" s="332">
        <v>0.7</v>
      </c>
      <c r="AE132" s="411">
        <v>0.2</v>
      </c>
      <c r="AF132" s="335"/>
      <c r="AG132" s="332">
        <f>(AB132+AE132)*50%</f>
        <v>1.7650000000000001</v>
      </c>
      <c r="AH132" s="335"/>
      <c r="AI132" s="335"/>
      <c r="AJ132" s="335"/>
      <c r="AK132" s="332">
        <f>(AB132+AE132)*25%</f>
        <v>0.8825000000000001</v>
      </c>
      <c r="AL132" s="335"/>
      <c r="AM132" s="335"/>
      <c r="AN132" s="335"/>
      <c r="AO132" s="335"/>
      <c r="AP132" s="332">
        <f>(AB132+AE132)*30%</f>
        <v>1.059</v>
      </c>
      <c r="AQ132" s="332">
        <f>(AB132+AE132)*10%</f>
        <v>0.35300000000000004</v>
      </c>
      <c r="AR132" s="335"/>
      <c r="AS132" s="462">
        <f>(AB132+AE132)*22.5%</f>
        <v>0.7942500000000001</v>
      </c>
      <c r="AT132" s="333">
        <f>AA132*12*1490000</f>
        <v>162417450</v>
      </c>
      <c r="AU132" s="18"/>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row>
    <row r="133" spans="1:75" ht="15.75">
      <c r="A133" s="400">
        <v>2</v>
      </c>
      <c r="B133" s="367" t="s">
        <v>64</v>
      </c>
      <c r="C133" s="450"/>
      <c r="D133" s="450"/>
      <c r="E133" s="304">
        <f>F133+G133+X133</f>
        <v>7.9799999999999995</v>
      </c>
      <c r="F133" s="401">
        <v>3</v>
      </c>
      <c r="G133" s="304">
        <f>SUM(H133:W133)</f>
        <v>4.26</v>
      </c>
      <c r="H133" s="304">
        <v>0.7</v>
      </c>
      <c r="I133" s="304">
        <v>0.2</v>
      </c>
      <c r="J133" s="304"/>
      <c r="K133" s="304">
        <f>(F133+I133+J133)*0.5</f>
        <v>1.6</v>
      </c>
      <c r="L133" s="304"/>
      <c r="M133" s="304"/>
      <c r="N133" s="304"/>
      <c r="O133" s="304">
        <f>(F133+I133+J133+M133)*0.25</f>
        <v>0.8</v>
      </c>
      <c r="P133" s="304"/>
      <c r="Q133" s="304"/>
      <c r="R133" s="304"/>
      <c r="S133" s="305"/>
      <c r="T133" s="304">
        <f>(F133+I133+J133)*30%</f>
        <v>0.96</v>
      </c>
      <c r="U133" s="304"/>
      <c r="V133" s="304"/>
      <c r="W133" s="304"/>
      <c r="X133" s="304">
        <f>(F133+I133+J133+M133)*0.225</f>
        <v>0.7200000000000001</v>
      </c>
      <c r="Y133" s="307">
        <f>E133*1490000*12</f>
        <v>142682400</v>
      </c>
      <c r="Z133" s="313"/>
      <c r="AA133" s="332">
        <f>AB133+AC133+AS133</f>
        <v>10.752500000000001</v>
      </c>
      <c r="AB133" s="412">
        <v>3.99</v>
      </c>
      <c r="AC133" s="332">
        <f>SUM(AD133:AR133)</f>
        <v>5.831</v>
      </c>
      <c r="AD133" s="332">
        <v>0.7</v>
      </c>
      <c r="AE133" s="413">
        <v>0.15</v>
      </c>
      <c r="AF133" s="313"/>
      <c r="AG133" s="332">
        <f>(AB133+AE133)*50%</f>
        <v>2.0700000000000003</v>
      </c>
      <c r="AH133" s="313"/>
      <c r="AI133" s="313"/>
      <c r="AJ133" s="313"/>
      <c r="AK133" s="332">
        <f>(AB133+AE133)*25%</f>
        <v>1.0350000000000001</v>
      </c>
      <c r="AL133" s="313"/>
      <c r="AM133" s="313"/>
      <c r="AN133" s="313"/>
      <c r="AO133" s="313"/>
      <c r="AP133" s="332">
        <f>(AB133+AE133)*30%</f>
        <v>1.2420000000000002</v>
      </c>
      <c r="AQ133" s="332">
        <f>(AB133+AE133)*10%</f>
        <v>0.4140000000000001</v>
      </c>
      <c r="AR133" s="313">
        <v>0.22</v>
      </c>
      <c r="AS133" s="462">
        <f>(AB133+AE133)*22.5%</f>
        <v>0.9315000000000001</v>
      </c>
      <c r="AT133" s="333">
        <f>AA133*12*1490000</f>
        <v>192254700.00000003</v>
      </c>
      <c r="AU133" s="18"/>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row>
    <row r="134" spans="1:75" ht="15.75">
      <c r="A134" s="400" t="s">
        <v>85</v>
      </c>
      <c r="B134" s="296" t="s">
        <v>84</v>
      </c>
      <c r="C134" s="449">
        <v>2</v>
      </c>
      <c r="D134" s="449">
        <v>1</v>
      </c>
      <c r="E134" s="299">
        <f aca="true" t="shared" si="97" ref="E134:X134">SUM(E135:E136)</f>
        <v>16.50665</v>
      </c>
      <c r="F134" s="299">
        <f t="shared" si="97"/>
        <v>6.33</v>
      </c>
      <c r="G134" s="299">
        <f t="shared" si="97"/>
        <v>8.6615</v>
      </c>
      <c r="H134" s="299">
        <f t="shared" si="97"/>
        <v>1.4</v>
      </c>
      <c r="I134" s="299">
        <f t="shared" si="97"/>
        <v>0.3</v>
      </c>
      <c r="J134" s="299">
        <f t="shared" si="97"/>
        <v>0</v>
      </c>
      <c r="K134" s="299">
        <f t="shared" si="97"/>
        <v>3.315</v>
      </c>
      <c r="L134" s="299">
        <f t="shared" si="97"/>
        <v>0</v>
      </c>
      <c r="M134" s="299">
        <f t="shared" si="97"/>
        <v>0</v>
      </c>
      <c r="N134" s="299">
        <f t="shared" si="97"/>
        <v>0</v>
      </c>
      <c r="O134" s="299">
        <f t="shared" si="97"/>
        <v>1.6575</v>
      </c>
      <c r="P134" s="299">
        <f t="shared" si="97"/>
        <v>0</v>
      </c>
      <c r="Q134" s="299">
        <f t="shared" si="97"/>
        <v>0</v>
      </c>
      <c r="R134" s="299">
        <f t="shared" si="97"/>
        <v>0</v>
      </c>
      <c r="S134" s="299">
        <f t="shared" si="97"/>
        <v>0</v>
      </c>
      <c r="T134" s="299">
        <f t="shared" si="97"/>
        <v>1.9889999999999999</v>
      </c>
      <c r="U134" s="299">
        <f t="shared" si="97"/>
        <v>0</v>
      </c>
      <c r="V134" s="299">
        <f t="shared" si="97"/>
        <v>0</v>
      </c>
      <c r="W134" s="299">
        <f t="shared" si="97"/>
        <v>0</v>
      </c>
      <c r="X134" s="299">
        <f t="shared" si="97"/>
        <v>1.51515</v>
      </c>
      <c r="Y134" s="299">
        <f>ROUNDUP(SUM(Y135:Y136),0)</f>
        <v>295138902</v>
      </c>
      <c r="Z134" s="313"/>
      <c r="AA134" s="332">
        <f>AB134+AC134+AS134</f>
        <v>2.8665</v>
      </c>
      <c r="AB134" s="332">
        <v>2.34</v>
      </c>
      <c r="AC134" s="332">
        <f>SUM(AD134:AR134)</f>
        <v>0</v>
      </c>
      <c r="AD134" s="332">
        <v>0</v>
      </c>
      <c r="AE134" s="313">
        <v>0</v>
      </c>
      <c r="AF134" s="313"/>
      <c r="AG134" s="332"/>
      <c r="AH134" s="313"/>
      <c r="AI134" s="313"/>
      <c r="AJ134" s="313"/>
      <c r="AK134" s="332"/>
      <c r="AL134" s="313"/>
      <c r="AM134" s="313"/>
      <c r="AN134" s="313"/>
      <c r="AO134" s="313"/>
      <c r="AP134" s="332"/>
      <c r="AQ134" s="313"/>
      <c r="AR134" s="313"/>
      <c r="AS134" s="462">
        <f>(AB134+AE134)*22.5%</f>
        <v>0.5265</v>
      </c>
      <c r="AT134" s="333">
        <f>AA134*11*1490000</f>
        <v>46981935</v>
      </c>
      <c r="AU134" s="18"/>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row>
    <row r="135" spans="1:75" ht="15.75">
      <c r="A135" s="400">
        <v>1</v>
      </c>
      <c r="B135" s="367" t="s">
        <v>43</v>
      </c>
      <c r="C135" s="450"/>
      <c r="D135" s="450"/>
      <c r="E135" s="304">
        <f>F135+G135+X135</f>
        <v>10.45975</v>
      </c>
      <c r="F135" s="401">
        <v>3.99</v>
      </c>
      <c r="G135" s="304">
        <f>H135+I135+J135+K135+L135+M135+N135+O135+P135+Q135+R135+S135+T135+U135+W135</f>
        <v>5.5045</v>
      </c>
      <c r="H135" s="304">
        <v>0.7</v>
      </c>
      <c r="I135" s="304">
        <v>0.3</v>
      </c>
      <c r="J135" s="304"/>
      <c r="K135" s="304">
        <f>(F135+I135+J135)*0.5</f>
        <v>2.145</v>
      </c>
      <c r="L135" s="304"/>
      <c r="M135" s="304"/>
      <c r="N135" s="304"/>
      <c r="O135" s="304">
        <f>(F135+I135+J135+M135)*0.25</f>
        <v>1.0725</v>
      </c>
      <c r="P135" s="304"/>
      <c r="Q135" s="304"/>
      <c r="R135" s="304"/>
      <c r="S135" s="305"/>
      <c r="T135" s="304">
        <f>(F135+I135+J135)*30%</f>
        <v>1.287</v>
      </c>
      <c r="U135" s="304"/>
      <c r="V135" s="304"/>
      <c r="W135" s="304"/>
      <c r="X135" s="304">
        <f>(F135+I135)*0.225</f>
        <v>0.96525</v>
      </c>
      <c r="Y135" s="307">
        <f>E135*1490000*12</f>
        <v>187020330</v>
      </c>
      <c r="Z135" s="313"/>
      <c r="AA135" s="332">
        <f>AB135+AC135+AS135</f>
        <v>5.4775</v>
      </c>
      <c r="AB135" s="332">
        <v>2.1</v>
      </c>
      <c r="AC135" s="332">
        <f>SUM(AD135:AR135)</f>
        <v>2.905</v>
      </c>
      <c r="AD135" s="332">
        <v>0.7</v>
      </c>
      <c r="AE135" s="313"/>
      <c r="AF135" s="313"/>
      <c r="AG135" s="332">
        <f>(AB135+AE135)*50%</f>
        <v>1.05</v>
      </c>
      <c r="AH135" s="313"/>
      <c r="AI135" s="313"/>
      <c r="AJ135" s="313"/>
      <c r="AK135" s="332">
        <f>(AB135+AE135)*25%</f>
        <v>0.525</v>
      </c>
      <c r="AL135" s="313"/>
      <c r="AM135" s="313"/>
      <c r="AN135" s="313"/>
      <c r="AO135" s="313"/>
      <c r="AP135" s="332">
        <f>(AB135+AE135)*30%</f>
        <v>0.63</v>
      </c>
      <c r="AQ135" s="313"/>
      <c r="AR135" s="313"/>
      <c r="AS135" s="462">
        <f>(AB135+AE135)*22.5%</f>
        <v>0.47250000000000003</v>
      </c>
      <c r="AT135" s="333">
        <f>AA135*1*1490000</f>
        <v>8161475</v>
      </c>
      <c r="AU135" s="18"/>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row>
    <row r="136" spans="1:75" ht="15.75">
      <c r="A136" s="414">
        <v>2</v>
      </c>
      <c r="B136" s="367" t="s">
        <v>83</v>
      </c>
      <c r="C136" s="450"/>
      <c r="D136" s="450"/>
      <c r="E136" s="304">
        <f>F136+G136+X136</f>
        <v>6.0469</v>
      </c>
      <c r="F136" s="401">
        <v>2.34</v>
      </c>
      <c r="G136" s="304">
        <f>SUM(H136:W136)</f>
        <v>3.157</v>
      </c>
      <c r="H136" s="304">
        <v>0.7</v>
      </c>
      <c r="I136" s="304"/>
      <c r="J136" s="304"/>
      <c r="K136" s="304">
        <f>(F136+I136+J136)*0.5</f>
        <v>1.17</v>
      </c>
      <c r="L136" s="304"/>
      <c r="M136" s="304"/>
      <c r="N136" s="304"/>
      <c r="O136" s="304">
        <f>(F136+I136+J136)*0.25</f>
        <v>0.585</v>
      </c>
      <c r="P136" s="304"/>
      <c r="Q136" s="304"/>
      <c r="R136" s="304"/>
      <c r="S136" s="305"/>
      <c r="T136" s="304">
        <f>(F136+I136+J136)*30%</f>
        <v>0.702</v>
      </c>
      <c r="U136" s="304"/>
      <c r="V136" s="304"/>
      <c r="W136" s="304"/>
      <c r="X136" s="304">
        <f>(F136+I136+J136+M136)*0.235</f>
        <v>0.5498999999999999</v>
      </c>
      <c r="Y136" s="307">
        <f>E136*1490000*12</f>
        <v>108118572</v>
      </c>
      <c r="Z136" s="322">
        <v>2</v>
      </c>
      <c r="AA136" s="415">
        <f>SUM(AA137:AA138)</f>
        <v>14.077</v>
      </c>
      <c r="AB136" s="415">
        <f>SUM(AB137:AB138)</f>
        <v>6.66</v>
      </c>
      <c r="AC136" s="415">
        <f aca="true" t="shared" si="98" ref="AC136:AS136">SUM(AC137:AC138)</f>
        <v>5.851</v>
      </c>
      <c r="AD136" s="415">
        <f t="shared" si="98"/>
        <v>0.7</v>
      </c>
      <c r="AE136" s="415">
        <f t="shared" si="98"/>
        <v>0.3</v>
      </c>
      <c r="AF136" s="415">
        <f t="shared" si="98"/>
        <v>0</v>
      </c>
      <c r="AG136" s="415">
        <f t="shared" si="98"/>
        <v>2.31</v>
      </c>
      <c r="AH136" s="415">
        <f t="shared" si="98"/>
        <v>0</v>
      </c>
      <c r="AI136" s="415">
        <f t="shared" si="98"/>
        <v>0</v>
      </c>
      <c r="AJ136" s="415">
        <f t="shared" si="98"/>
        <v>0</v>
      </c>
      <c r="AK136" s="415">
        <f t="shared" si="98"/>
        <v>1.155</v>
      </c>
      <c r="AL136" s="415">
        <f t="shared" si="98"/>
        <v>0</v>
      </c>
      <c r="AM136" s="415">
        <f t="shared" si="98"/>
        <v>0</v>
      </c>
      <c r="AN136" s="415">
        <f t="shared" si="98"/>
        <v>0</v>
      </c>
      <c r="AO136" s="415">
        <f t="shared" si="98"/>
        <v>0</v>
      </c>
      <c r="AP136" s="415">
        <f t="shared" si="98"/>
        <v>1.386</v>
      </c>
      <c r="AQ136" s="415">
        <f t="shared" si="98"/>
        <v>0</v>
      </c>
      <c r="AR136" s="415">
        <f t="shared" si="98"/>
        <v>0</v>
      </c>
      <c r="AS136" s="477">
        <f t="shared" si="98"/>
        <v>1.566</v>
      </c>
      <c r="AT136" s="415">
        <f>SUM(AT137:AT138)</f>
        <v>251696760.00000003</v>
      </c>
      <c r="AU136" s="18"/>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row>
    <row r="137" spans="1:75" ht="15.75">
      <c r="A137" s="400" t="s">
        <v>82</v>
      </c>
      <c r="B137" s="296" t="s">
        <v>81</v>
      </c>
      <c r="C137" s="449">
        <v>3</v>
      </c>
      <c r="D137" s="449">
        <v>3</v>
      </c>
      <c r="E137" s="299">
        <f aca="true" t="shared" si="99" ref="E137:X137">E138+E139+E140</f>
        <v>19.412750000000003</v>
      </c>
      <c r="F137" s="299">
        <f t="shared" si="99"/>
        <v>7.109999999999999</v>
      </c>
      <c r="G137" s="299">
        <f t="shared" si="99"/>
        <v>10.5905</v>
      </c>
      <c r="H137" s="299">
        <f t="shared" si="99"/>
        <v>2.0999999999999996</v>
      </c>
      <c r="I137" s="299">
        <f t="shared" si="99"/>
        <v>0.5</v>
      </c>
      <c r="J137" s="299">
        <f t="shared" si="99"/>
        <v>0</v>
      </c>
      <c r="K137" s="299">
        <f t="shared" si="99"/>
        <v>3.8049999999999997</v>
      </c>
      <c r="L137" s="299">
        <f t="shared" si="99"/>
        <v>0</v>
      </c>
      <c r="M137" s="299">
        <f t="shared" si="99"/>
        <v>0</v>
      </c>
      <c r="N137" s="299">
        <f t="shared" si="99"/>
        <v>0</v>
      </c>
      <c r="O137" s="299">
        <f t="shared" si="99"/>
        <v>1.9024999999999999</v>
      </c>
      <c r="P137" s="299">
        <f t="shared" si="99"/>
        <v>0</v>
      </c>
      <c r="Q137" s="299">
        <f t="shared" si="99"/>
        <v>0</v>
      </c>
      <c r="R137" s="299">
        <f t="shared" si="99"/>
        <v>0</v>
      </c>
      <c r="S137" s="299">
        <f t="shared" si="99"/>
        <v>0</v>
      </c>
      <c r="T137" s="299">
        <f t="shared" si="99"/>
        <v>2.283</v>
      </c>
      <c r="U137" s="299">
        <f t="shared" si="99"/>
        <v>0</v>
      </c>
      <c r="V137" s="299">
        <f t="shared" si="99"/>
        <v>0</v>
      </c>
      <c r="W137" s="299">
        <f t="shared" si="99"/>
        <v>0</v>
      </c>
      <c r="X137" s="299">
        <f t="shared" si="99"/>
        <v>1.71225</v>
      </c>
      <c r="Y137" s="300">
        <f>ROUNDUP(SUM(Y138:Y140),0)</f>
        <v>347099970</v>
      </c>
      <c r="Z137" s="313"/>
      <c r="AA137" s="332">
        <f>AB137+AC137+AS137</f>
        <v>11.2105</v>
      </c>
      <c r="AB137" s="416">
        <v>4.32</v>
      </c>
      <c r="AC137" s="332">
        <f>SUM(AD137:AR137)</f>
        <v>5.851</v>
      </c>
      <c r="AD137" s="332">
        <v>0.7</v>
      </c>
      <c r="AE137" s="411">
        <v>0.3</v>
      </c>
      <c r="AF137" s="332"/>
      <c r="AG137" s="332">
        <f>(AB137+AE137)*50%</f>
        <v>2.31</v>
      </c>
      <c r="AH137" s="332"/>
      <c r="AI137" s="332"/>
      <c r="AJ137" s="332"/>
      <c r="AK137" s="332">
        <f>(AB137+AE137)*25%</f>
        <v>1.155</v>
      </c>
      <c r="AL137" s="332"/>
      <c r="AM137" s="332"/>
      <c r="AN137" s="332"/>
      <c r="AO137" s="332"/>
      <c r="AP137" s="332">
        <f>(AB137+AE137)*30%</f>
        <v>1.386</v>
      </c>
      <c r="AQ137" s="332"/>
      <c r="AR137" s="332"/>
      <c r="AS137" s="462">
        <f>(AB137+AE137)*22.5%</f>
        <v>1.0395</v>
      </c>
      <c r="AT137" s="333">
        <f>AA137*12*1490000</f>
        <v>200443740.00000003</v>
      </c>
      <c r="AU137" s="18"/>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row>
    <row r="138" spans="1:75" ht="15.75">
      <c r="A138" s="400">
        <v>1</v>
      </c>
      <c r="B138" s="367" t="s">
        <v>29</v>
      </c>
      <c r="C138" s="450"/>
      <c r="D138" s="450"/>
      <c r="E138" s="304">
        <f>F138+G138+X138</f>
        <v>7.4567499999999995</v>
      </c>
      <c r="F138" s="401">
        <v>2.67</v>
      </c>
      <c r="G138" s="304">
        <f>SUM(H138:W138)</f>
        <v>4.1185</v>
      </c>
      <c r="H138" s="304">
        <v>0.7</v>
      </c>
      <c r="I138" s="304">
        <v>0.3</v>
      </c>
      <c r="J138" s="304"/>
      <c r="K138" s="304">
        <f>(F138+I138+J138)*0.5</f>
        <v>1.4849999999999999</v>
      </c>
      <c r="L138" s="304"/>
      <c r="M138" s="304"/>
      <c r="N138" s="304"/>
      <c r="O138" s="304">
        <f>(F138+I138+J138+M138)*0.25</f>
        <v>0.7424999999999999</v>
      </c>
      <c r="P138" s="304"/>
      <c r="Q138" s="304"/>
      <c r="R138" s="304"/>
      <c r="S138" s="305"/>
      <c r="T138" s="304">
        <f>(F138+I138+J138)*30%</f>
        <v>0.8909999999999999</v>
      </c>
      <c r="U138" s="304"/>
      <c r="V138" s="304"/>
      <c r="W138" s="304"/>
      <c r="X138" s="304">
        <f>(F138+I138+J138+M138)*0.225</f>
        <v>0.66825</v>
      </c>
      <c r="Y138" s="307">
        <f>E138*1490000*12</f>
        <v>133326690</v>
      </c>
      <c r="Z138" s="313"/>
      <c r="AA138" s="332">
        <f>AB138+AC138+AS138</f>
        <v>2.8665</v>
      </c>
      <c r="AB138" s="332">
        <v>2.34</v>
      </c>
      <c r="AC138" s="332">
        <f>SUM(AD138:AR138)</f>
        <v>0</v>
      </c>
      <c r="AD138" s="332">
        <v>0</v>
      </c>
      <c r="AE138" s="313">
        <v>0</v>
      </c>
      <c r="AF138" s="313"/>
      <c r="AG138" s="332">
        <v>0</v>
      </c>
      <c r="AH138" s="313"/>
      <c r="AI138" s="313"/>
      <c r="AJ138" s="313"/>
      <c r="AK138" s="313"/>
      <c r="AL138" s="313"/>
      <c r="AM138" s="313"/>
      <c r="AN138" s="313"/>
      <c r="AO138" s="313"/>
      <c r="AP138" s="313"/>
      <c r="AQ138" s="313"/>
      <c r="AR138" s="313"/>
      <c r="AS138" s="462">
        <f>(AB138+AE138)*22.5%</f>
        <v>0.5265</v>
      </c>
      <c r="AT138" s="333">
        <f>AA138*12*1490000</f>
        <v>51253019.99999999</v>
      </c>
      <c r="AU138" s="18"/>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row>
    <row r="139" spans="1:75" ht="15.75">
      <c r="A139" s="400">
        <v>2</v>
      </c>
      <c r="B139" s="367" t="s">
        <v>33</v>
      </c>
      <c r="C139" s="450"/>
      <c r="D139" s="450"/>
      <c r="E139" s="304">
        <f>F139+G139+X139</f>
        <v>5.9325</v>
      </c>
      <c r="F139" s="401">
        <v>2.1</v>
      </c>
      <c r="G139" s="304">
        <f>H139+I139+J139+K139+L139+M139+N139+O139+P139+Q139+R139+S139+T139+U139+W139</f>
        <v>3.315</v>
      </c>
      <c r="H139" s="304">
        <v>0.7</v>
      </c>
      <c r="I139" s="304">
        <v>0.2</v>
      </c>
      <c r="J139" s="304"/>
      <c r="K139" s="304">
        <f>(F139+I139+J139)*0.5</f>
        <v>1.1500000000000001</v>
      </c>
      <c r="L139" s="304"/>
      <c r="M139" s="304"/>
      <c r="N139" s="304"/>
      <c r="O139" s="304">
        <f>(F139+I139+J139+M139)*0.25</f>
        <v>0.5750000000000001</v>
      </c>
      <c r="P139" s="304"/>
      <c r="Q139" s="304"/>
      <c r="R139" s="304"/>
      <c r="S139" s="305"/>
      <c r="T139" s="304">
        <f>(F139+I139+J139)*30%</f>
        <v>0.6900000000000001</v>
      </c>
      <c r="U139" s="304"/>
      <c r="V139" s="304"/>
      <c r="W139" s="304"/>
      <c r="X139" s="304">
        <f>(F139+I139+J139+M139)*0.225</f>
        <v>0.5175000000000001</v>
      </c>
      <c r="Y139" s="307">
        <f>E139*1490000*12</f>
        <v>106073100</v>
      </c>
      <c r="Z139" s="407">
        <v>2</v>
      </c>
      <c r="AA139" s="407">
        <f aca="true" t="shared" si="100" ref="AA139:AR139">SUM(AA140:AA142)</f>
        <v>25.82825</v>
      </c>
      <c r="AB139" s="407">
        <f t="shared" si="100"/>
        <v>9.629999999999999</v>
      </c>
      <c r="AC139" s="407">
        <f t="shared" si="100"/>
        <v>13.8515</v>
      </c>
      <c r="AD139" s="407">
        <f t="shared" si="100"/>
        <v>2.0999999999999996</v>
      </c>
      <c r="AE139" s="407">
        <f t="shared" si="100"/>
        <v>0.8</v>
      </c>
      <c r="AF139" s="407">
        <f t="shared" si="100"/>
        <v>0</v>
      </c>
      <c r="AG139" s="407">
        <f t="shared" si="100"/>
        <v>5.215</v>
      </c>
      <c r="AH139" s="407">
        <f t="shared" si="100"/>
        <v>0</v>
      </c>
      <c r="AI139" s="407">
        <f t="shared" si="100"/>
        <v>0</v>
      </c>
      <c r="AJ139" s="407">
        <f t="shared" si="100"/>
        <v>0</v>
      </c>
      <c r="AK139" s="407">
        <f t="shared" si="100"/>
        <v>2.6075</v>
      </c>
      <c r="AL139" s="407">
        <f t="shared" si="100"/>
        <v>0</v>
      </c>
      <c r="AM139" s="407">
        <f t="shared" si="100"/>
        <v>0</v>
      </c>
      <c r="AN139" s="407">
        <f t="shared" si="100"/>
        <v>0</v>
      </c>
      <c r="AO139" s="407">
        <f t="shared" si="100"/>
        <v>0</v>
      </c>
      <c r="AP139" s="407">
        <f t="shared" si="100"/>
        <v>3.1289999999999996</v>
      </c>
      <c r="AQ139" s="407">
        <f t="shared" si="100"/>
        <v>0</v>
      </c>
      <c r="AR139" s="407">
        <f t="shared" si="100"/>
        <v>0</v>
      </c>
      <c r="AS139" s="478">
        <f>SUM(AS140:AS142)</f>
        <v>2.34675</v>
      </c>
      <c r="AT139" s="417">
        <f>SUM(AT140:AT142)</f>
        <v>289127422.5</v>
      </c>
      <c r="AU139" s="18"/>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row>
    <row r="140" spans="1:75" ht="15.75">
      <c r="A140" s="400">
        <v>3</v>
      </c>
      <c r="B140" s="367" t="s">
        <v>80</v>
      </c>
      <c r="C140" s="450"/>
      <c r="D140" s="450"/>
      <c r="E140" s="304">
        <f>F140+G140+X140</f>
        <v>6.0235</v>
      </c>
      <c r="F140" s="401">
        <v>2.34</v>
      </c>
      <c r="G140" s="304">
        <f>H140+I140+J140+K140+L140+M140+N140+O140+P140+Q140+R140+S140+T140+U140+W140</f>
        <v>3.157</v>
      </c>
      <c r="H140" s="304">
        <v>0.7</v>
      </c>
      <c r="I140" s="304"/>
      <c r="J140" s="304"/>
      <c r="K140" s="304">
        <f>(F140+I140+J140)*0.5</f>
        <v>1.17</v>
      </c>
      <c r="L140" s="304"/>
      <c r="M140" s="304"/>
      <c r="N140" s="304"/>
      <c r="O140" s="304">
        <f>(F140+I140+J140+M140)*0.25</f>
        <v>0.585</v>
      </c>
      <c r="P140" s="304"/>
      <c r="Q140" s="304"/>
      <c r="R140" s="304"/>
      <c r="S140" s="305"/>
      <c r="T140" s="304">
        <f>(F140+I140+J140)*30%</f>
        <v>0.702</v>
      </c>
      <c r="U140" s="304"/>
      <c r="V140" s="304"/>
      <c r="W140" s="304"/>
      <c r="X140" s="304">
        <f>(F140+I140+J140+M140)*0.225</f>
        <v>0.5265</v>
      </c>
      <c r="Y140" s="307">
        <f>E140*1490000*12</f>
        <v>107700180</v>
      </c>
      <c r="Z140" s="418"/>
      <c r="AA140" s="419">
        <f>AB140+AC140+AS140</f>
        <v>7.4567499999999995</v>
      </c>
      <c r="AB140" s="420">
        <v>2.67</v>
      </c>
      <c r="AC140" s="419">
        <f>SUM(AD140:AR140)</f>
        <v>4.1185</v>
      </c>
      <c r="AD140" s="419">
        <v>0.7</v>
      </c>
      <c r="AE140" s="421">
        <v>0.3</v>
      </c>
      <c r="AF140" s="419"/>
      <c r="AG140" s="419">
        <f>(AB140+AE140)*50%</f>
        <v>1.4849999999999999</v>
      </c>
      <c r="AH140" s="419"/>
      <c r="AI140" s="419"/>
      <c r="AJ140" s="419"/>
      <c r="AK140" s="419">
        <f>(AB140+AE140)*25%</f>
        <v>0.7424999999999999</v>
      </c>
      <c r="AL140" s="419"/>
      <c r="AM140" s="419"/>
      <c r="AN140" s="419"/>
      <c r="AO140" s="419"/>
      <c r="AP140" s="419">
        <f>(AB140+AE140)*30%</f>
        <v>0.8909999999999999</v>
      </c>
      <c r="AQ140" s="419"/>
      <c r="AR140" s="419"/>
      <c r="AS140" s="479">
        <f>(AB140+AE140)*22.5%</f>
        <v>0.66825</v>
      </c>
      <c r="AT140" s="422">
        <f>AA140*9*1490000</f>
        <v>99995017.5</v>
      </c>
      <c r="AU140" s="18"/>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row>
    <row r="141" spans="1:75" ht="15.75">
      <c r="A141" s="400" t="s">
        <v>79</v>
      </c>
      <c r="B141" s="296" t="s">
        <v>78</v>
      </c>
      <c r="C141" s="449">
        <v>1</v>
      </c>
      <c r="D141" s="449">
        <v>1</v>
      </c>
      <c r="E141" s="299">
        <f aca="true" t="shared" si="101" ref="E141:X141">SUM(E142:E142)</f>
        <v>8.958250000000001</v>
      </c>
      <c r="F141" s="299">
        <f t="shared" si="101"/>
        <v>3.33</v>
      </c>
      <c r="G141" s="299">
        <f t="shared" si="101"/>
        <v>4.8115000000000006</v>
      </c>
      <c r="H141" s="299">
        <f t="shared" si="101"/>
        <v>0.7</v>
      </c>
      <c r="I141" s="299">
        <f t="shared" si="101"/>
        <v>0.3</v>
      </c>
      <c r="J141" s="299">
        <f t="shared" si="101"/>
        <v>0</v>
      </c>
      <c r="K141" s="299">
        <f t="shared" si="101"/>
        <v>1.815</v>
      </c>
      <c r="L141" s="299">
        <f t="shared" si="101"/>
        <v>0</v>
      </c>
      <c r="M141" s="299">
        <f t="shared" si="101"/>
        <v>0</v>
      </c>
      <c r="N141" s="299">
        <f t="shared" si="101"/>
        <v>0</v>
      </c>
      <c r="O141" s="299">
        <f t="shared" si="101"/>
        <v>0.9075</v>
      </c>
      <c r="P141" s="299">
        <f t="shared" si="101"/>
        <v>0</v>
      </c>
      <c r="Q141" s="299">
        <f t="shared" si="101"/>
        <v>0</v>
      </c>
      <c r="R141" s="299">
        <f t="shared" si="101"/>
        <v>0</v>
      </c>
      <c r="S141" s="299">
        <f t="shared" si="101"/>
        <v>0</v>
      </c>
      <c r="T141" s="299">
        <f t="shared" si="101"/>
        <v>1.089</v>
      </c>
      <c r="U141" s="299">
        <f t="shared" si="101"/>
        <v>0</v>
      </c>
      <c r="V141" s="299">
        <f t="shared" si="101"/>
        <v>0</v>
      </c>
      <c r="W141" s="299">
        <f t="shared" si="101"/>
        <v>0</v>
      </c>
      <c r="X141" s="299">
        <f t="shared" si="101"/>
        <v>0.81675</v>
      </c>
      <c r="Y141" s="299">
        <f>ROUNDUP(SUM(Y142:Y142),0)</f>
        <v>160173510</v>
      </c>
      <c r="Z141" s="418"/>
      <c r="AA141" s="419">
        <f>AB141+AC141+AS141</f>
        <v>10.3915</v>
      </c>
      <c r="AB141" s="420">
        <v>3.96</v>
      </c>
      <c r="AC141" s="419">
        <f>SUM(AD141:AR141)</f>
        <v>5.473</v>
      </c>
      <c r="AD141" s="419">
        <v>0.7</v>
      </c>
      <c r="AE141" s="421">
        <v>0.3</v>
      </c>
      <c r="AF141" s="419"/>
      <c r="AG141" s="419">
        <f>(AB141+AE141)*50%</f>
        <v>2.13</v>
      </c>
      <c r="AH141" s="419"/>
      <c r="AI141" s="419"/>
      <c r="AJ141" s="419"/>
      <c r="AK141" s="419">
        <f>(AB141+AE141)*25%</f>
        <v>1.065</v>
      </c>
      <c r="AL141" s="419"/>
      <c r="AM141" s="419"/>
      <c r="AN141" s="419"/>
      <c r="AO141" s="419"/>
      <c r="AP141" s="419">
        <f>(AB141+AE141)*30%</f>
        <v>1.2779999999999998</v>
      </c>
      <c r="AQ141" s="419"/>
      <c r="AR141" s="419"/>
      <c r="AS141" s="479">
        <f>(AB141+AE141)*22.5%</f>
        <v>0.9585</v>
      </c>
      <c r="AT141" s="422">
        <f>AA141*1490000*3</f>
        <v>46450005</v>
      </c>
      <c r="AU141" s="18"/>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row>
    <row r="142" spans="1:75" ht="15.75">
      <c r="A142" s="400">
        <v>1</v>
      </c>
      <c r="B142" s="367" t="s">
        <v>77</v>
      </c>
      <c r="C142" s="450"/>
      <c r="D142" s="450"/>
      <c r="E142" s="304">
        <f>F142+G142+X142</f>
        <v>8.958250000000001</v>
      </c>
      <c r="F142" s="401">
        <v>3.33</v>
      </c>
      <c r="G142" s="304">
        <f>H142+I142+J142+K142+L142+M142+N142+O142+P142+Q142+R142+S142+T142+U142+W142</f>
        <v>4.8115000000000006</v>
      </c>
      <c r="H142" s="304">
        <v>0.7</v>
      </c>
      <c r="I142" s="304">
        <v>0.3</v>
      </c>
      <c r="J142" s="304"/>
      <c r="K142" s="304">
        <f>(F142+I142+J142)*0.5</f>
        <v>1.815</v>
      </c>
      <c r="L142" s="304"/>
      <c r="M142" s="304"/>
      <c r="N142" s="304"/>
      <c r="O142" s="304">
        <f>(F142+I142+J142+M142)*0.25</f>
        <v>0.9075</v>
      </c>
      <c r="P142" s="304"/>
      <c r="Q142" s="304"/>
      <c r="R142" s="304"/>
      <c r="S142" s="305"/>
      <c r="T142" s="304">
        <f>(F142+I142+J142)*30%</f>
        <v>1.089</v>
      </c>
      <c r="U142" s="304"/>
      <c r="V142" s="304"/>
      <c r="W142" s="304"/>
      <c r="X142" s="304">
        <f>(F142+I142)*0.225</f>
        <v>0.81675</v>
      </c>
      <c r="Y142" s="307">
        <f>E142*1490000*12</f>
        <v>160173510.00000003</v>
      </c>
      <c r="Z142" s="423"/>
      <c r="AA142" s="419">
        <f>AB142+AC142+AS142</f>
        <v>7.9799999999999995</v>
      </c>
      <c r="AB142" s="420">
        <v>3</v>
      </c>
      <c r="AC142" s="419">
        <f>SUM(AD142:AR142)</f>
        <v>4.26</v>
      </c>
      <c r="AD142" s="419">
        <v>0.7</v>
      </c>
      <c r="AE142" s="421">
        <v>0.2</v>
      </c>
      <c r="AF142" s="424"/>
      <c r="AG142" s="419">
        <f>(AB142+AE142)*50%</f>
        <v>1.6</v>
      </c>
      <c r="AH142" s="424"/>
      <c r="AI142" s="424"/>
      <c r="AJ142" s="424"/>
      <c r="AK142" s="419">
        <f>(AB142+AE142)*25%</f>
        <v>0.8</v>
      </c>
      <c r="AL142" s="424"/>
      <c r="AM142" s="424"/>
      <c r="AN142" s="424"/>
      <c r="AO142" s="424"/>
      <c r="AP142" s="419">
        <f>(AB142+AE142)*30%</f>
        <v>0.96</v>
      </c>
      <c r="AQ142" s="419"/>
      <c r="AR142" s="424"/>
      <c r="AS142" s="479">
        <f>(AB142+AE142)*22.5%</f>
        <v>0.7200000000000001</v>
      </c>
      <c r="AT142" s="422">
        <f>AA142*12*1490000</f>
        <v>142682400</v>
      </c>
      <c r="AU142" s="18"/>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row>
    <row r="143" spans="1:75" ht="31.5">
      <c r="A143" s="425" t="s">
        <v>13</v>
      </c>
      <c r="B143" s="426" t="s">
        <v>76</v>
      </c>
      <c r="C143" s="449"/>
      <c r="D143" s="449"/>
      <c r="E143" s="299">
        <f aca="true" t="shared" si="102" ref="E143:Y143">+E144</f>
        <v>10.800000000000004</v>
      </c>
      <c r="F143" s="299">
        <f t="shared" si="102"/>
        <v>0</v>
      </c>
      <c r="G143" s="299">
        <f t="shared" si="102"/>
        <v>10.800000000000004</v>
      </c>
      <c r="H143" s="299">
        <f t="shared" si="102"/>
        <v>0</v>
      </c>
      <c r="I143" s="299">
        <f t="shared" si="102"/>
        <v>0</v>
      </c>
      <c r="J143" s="299">
        <f t="shared" si="102"/>
        <v>0</v>
      </c>
      <c r="K143" s="299">
        <f t="shared" si="102"/>
        <v>0</v>
      </c>
      <c r="L143" s="299">
        <f t="shared" si="102"/>
        <v>0</v>
      </c>
      <c r="M143" s="299">
        <f t="shared" si="102"/>
        <v>0</v>
      </c>
      <c r="N143" s="299">
        <f t="shared" si="102"/>
        <v>0</v>
      </c>
      <c r="O143" s="299">
        <f t="shared" si="102"/>
        <v>0</v>
      </c>
      <c r="P143" s="299">
        <f t="shared" si="102"/>
        <v>0</v>
      </c>
      <c r="Q143" s="299">
        <f t="shared" si="102"/>
        <v>0</v>
      </c>
      <c r="R143" s="299">
        <f t="shared" si="102"/>
        <v>0</v>
      </c>
      <c r="S143" s="299">
        <f t="shared" si="102"/>
        <v>10.800000000000004</v>
      </c>
      <c r="T143" s="299">
        <f t="shared" si="102"/>
        <v>0</v>
      </c>
      <c r="U143" s="299">
        <f t="shared" si="102"/>
        <v>0</v>
      </c>
      <c r="V143" s="299">
        <f t="shared" si="102"/>
        <v>0</v>
      </c>
      <c r="W143" s="299">
        <f t="shared" si="102"/>
        <v>0</v>
      </c>
      <c r="X143" s="299">
        <f t="shared" si="102"/>
        <v>0</v>
      </c>
      <c r="Y143" s="299">
        <f t="shared" si="102"/>
        <v>193104000</v>
      </c>
      <c r="Z143" s="427">
        <v>1</v>
      </c>
      <c r="AA143" s="407">
        <f>AA144</f>
        <v>8.958250000000001</v>
      </c>
      <c r="AB143" s="407">
        <f aca="true" t="shared" si="103" ref="AB143:AS143">AB144</f>
        <v>3.33</v>
      </c>
      <c r="AC143" s="407">
        <f t="shared" si="103"/>
        <v>4.8115000000000006</v>
      </c>
      <c r="AD143" s="407">
        <f t="shared" si="103"/>
        <v>0.7</v>
      </c>
      <c r="AE143" s="407">
        <f t="shared" si="103"/>
        <v>0.3</v>
      </c>
      <c r="AF143" s="407">
        <f t="shared" si="103"/>
        <v>0</v>
      </c>
      <c r="AG143" s="407">
        <f t="shared" si="103"/>
        <v>1.815</v>
      </c>
      <c r="AH143" s="407">
        <f t="shared" si="103"/>
        <v>0</v>
      </c>
      <c r="AI143" s="407">
        <f t="shared" si="103"/>
        <v>0</v>
      </c>
      <c r="AJ143" s="407">
        <f t="shared" si="103"/>
        <v>0</v>
      </c>
      <c r="AK143" s="407">
        <f t="shared" si="103"/>
        <v>0.9075</v>
      </c>
      <c r="AL143" s="407">
        <f t="shared" si="103"/>
        <v>0</v>
      </c>
      <c r="AM143" s="407">
        <f t="shared" si="103"/>
        <v>0</v>
      </c>
      <c r="AN143" s="407">
        <f t="shared" si="103"/>
        <v>0</v>
      </c>
      <c r="AO143" s="407">
        <f t="shared" si="103"/>
        <v>0</v>
      </c>
      <c r="AP143" s="407">
        <f t="shared" si="103"/>
        <v>1.089</v>
      </c>
      <c r="AQ143" s="407">
        <f t="shared" si="103"/>
        <v>0</v>
      </c>
      <c r="AR143" s="407">
        <f t="shared" si="103"/>
        <v>0</v>
      </c>
      <c r="AS143" s="475">
        <f t="shared" si="103"/>
        <v>0.81675</v>
      </c>
      <c r="AT143" s="407">
        <f>AT144</f>
        <v>160173510.00000003</v>
      </c>
      <c r="AU143" s="18"/>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row>
    <row r="144" spans="1:75" ht="15.75">
      <c r="A144" s="428"/>
      <c r="B144" s="426" t="s">
        <v>75</v>
      </c>
      <c r="C144" s="449"/>
      <c r="D144" s="449"/>
      <c r="E144" s="304">
        <f aca="true" t="shared" si="104" ref="E144:U144">E145</f>
        <v>10.800000000000004</v>
      </c>
      <c r="F144" s="304">
        <f t="shared" si="104"/>
        <v>0</v>
      </c>
      <c r="G144" s="304">
        <f t="shared" si="104"/>
        <v>10.800000000000004</v>
      </c>
      <c r="H144" s="304">
        <f t="shared" si="104"/>
        <v>0</v>
      </c>
      <c r="I144" s="304">
        <f t="shared" si="104"/>
        <v>0</v>
      </c>
      <c r="J144" s="304">
        <f t="shared" si="104"/>
        <v>0</v>
      </c>
      <c r="K144" s="304">
        <f t="shared" si="104"/>
        <v>0</v>
      </c>
      <c r="L144" s="304">
        <f t="shared" si="104"/>
        <v>0</v>
      </c>
      <c r="M144" s="304">
        <f t="shared" si="104"/>
        <v>0</v>
      </c>
      <c r="N144" s="304">
        <f t="shared" si="104"/>
        <v>0</v>
      </c>
      <c r="O144" s="304">
        <f t="shared" si="104"/>
        <v>0</v>
      </c>
      <c r="P144" s="304">
        <f t="shared" si="104"/>
        <v>0</v>
      </c>
      <c r="Q144" s="304">
        <f t="shared" si="104"/>
        <v>0</v>
      </c>
      <c r="R144" s="304">
        <f t="shared" si="104"/>
        <v>0</v>
      </c>
      <c r="S144" s="304">
        <f t="shared" si="104"/>
        <v>10.800000000000004</v>
      </c>
      <c r="T144" s="304">
        <f t="shared" si="104"/>
        <v>0</v>
      </c>
      <c r="U144" s="304">
        <f t="shared" si="104"/>
        <v>0</v>
      </c>
      <c r="V144" s="304"/>
      <c r="W144" s="304">
        <f>W145</f>
        <v>0</v>
      </c>
      <c r="X144" s="304">
        <f>X145</f>
        <v>0</v>
      </c>
      <c r="Y144" s="307">
        <f>Y145</f>
        <v>193104000</v>
      </c>
      <c r="Z144" s="313"/>
      <c r="AA144" s="332">
        <f>AB144+AC144+AS144</f>
        <v>8.958250000000001</v>
      </c>
      <c r="AB144" s="410">
        <v>3.33</v>
      </c>
      <c r="AC144" s="332">
        <f>SUM(AD144:AR144)</f>
        <v>4.8115000000000006</v>
      </c>
      <c r="AD144" s="332">
        <v>0.7</v>
      </c>
      <c r="AE144" s="411">
        <v>0.3</v>
      </c>
      <c r="AF144" s="332"/>
      <c r="AG144" s="332">
        <f>(AB144+AE144)*50%</f>
        <v>1.815</v>
      </c>
      <c r="AH144" s="332"/>
      <c r="AI144" s="332"/>
      <c r="AJ144" s="332"/>
      <c r="AK144" s="332">
        <f>(AB144+AE144)*25%</f>
        <v>0.9075</v>
      </c>
      <c r="AL144" s="332"/>
      <c r="AM144" s="332"/>
      <c r="AN144" s="332"/>
      <c r="AO144" s="332"/>
      <c r="AP144" s="332">
        <f>(AB144+AE144)*30%</f>
        <v>1.089</v>
      </c>
      <c r="AQ144" s="332"/>
      <c r="AR144" s="332"/>
      <c r="AS144" s="462">
        <f>(AB144+AE144)*22.5%</f>
        <v>0.81675</v>
      </c>
      <c r="AT144" s="333">
        <f>AA144*12*1490000</f>
        <v>160173510.00000003</v>
      </c>
      <c r="AU144" s="18"/>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row>
    <row r="145" spans="1:75" ht="31.5">
      <c r="A145" s="428">
        <v>1</v>
      </c>
      <c r="B145" s="426" t="s">
        <v>74</v>
      </c>
      <c r="C145" s="449"/>
      <c r="D145" s="449"/>
      <c r="E145" s="299">
        <f aca="true" t="shared" si="105" ref="E145:U145">SUM(E146:E172)</f>
        <v>10.800000000000004</v>
      </c>
      <c r="F145" s="306">
        <f t="shared" si="105"/>
        <v>0</v>
      </c>
      <c r="G145" s="299">
        <f t="shared" si="105"/>
        <v>10.800000000000004</v>
      </c>
      <c r="H145" s="299">
        <f t="shared" si="105"/>
        <v>0</v>
      </c>
      <c r="I145" s="299">
        <f t="shared" si="105"/>
        <v>0</v>
      </c>
      <c r="J145" s="299">
        <f t="shared" si="105"/>
        <v>0</v>
      </c>
      <c r="K145" s="299">
        <f t="shared" si="105"/>
        <v>0</v>
      </c>
      <c r="L145" s="299">
        <f t="shared" si="105"/>
        <v>0</v>
      </c>
      <c r="M145" s="299">
        <f t="shared" si="105"/>
        <v>0</v>
      </c>
      <c r="N145" s="299">
        <f t="shared" si="105"/>
        <v>0</v>
      </c>
      <c r="O145" s="299">
        <f t="shared" si="105"/>
        <v>0</v>
      </c>
      <c r="P145" s="299">
        <f t="shared" si="105"/>
        <v>0</v>
      </c>
      <c r="Q145" s="299">
        <f t="shared" si="105"/>
        <v>0</v>
      </c>
      <c r="R145" s="299">
        <f t="shared" si="105"/>
        <v>0</v>
      </c>
      <c r="S145" s="306">
        <f t="shared" si="105"/>
        <v>10.800000000000004</v>
      </c>
      <c r="T145" s="299">
        <f t="shared" si="105"/>
        <v>0</v>
      </c>
      <c r="U145" s="299">
        <f t="shared" si="105"/>
        <v>0</v>
      </c>
      <c r="V145" s="299"/>
      <c r="W145" s="299">
        <f>SUM(W146:W172)</f>
        <v>0</v>
      </c>
      <c r="X145" s="299">
        <f>SUM(X146:X172)</f>
        <v>0</v>
      </c>
      <c r="Y145" s="300">
        <f>SUM(Y146:Y172)</f>
        <v>193104000</v>
      </c>
      <c r="Z145" s="427">
        <v>3</v>
      </c>
      <c r="AA145" s="407">
        <f>SUM(AA146:AA150)</f>
        <v>29.053499999999996</v>
      </c>
      <c r="AB145" s="407">
        <f aca="true" t="shared" si="106" ref="AB145:AS145">SUM(AB146:AB150)</f>
        <v>12.12</v>
      </c>
      <c r="AC145" s="407">
        <f t="shared" si="106"/>
        <v>14.094000000000001</v>
      </c>
      <c r="AD145" s="407">
        <f t="shared" si="106"/>
        <v>2.8</v>
      </c>
      <c r="AE145" s="407">
        <f t="shared" si="106"/>
        <v>0.5</v>
      </c>
      <c r="AF145" s="407">
        <f t="shared" si="106"/>
        <v>0</v>
      </c>
      <c r="AG145" s="407">
        <f t="shared" si="106"/>
        <v>5.140000000000001</v>
      </c>
      <c r="AH145" s="407">
        <f t="shared" si="106"/>
        <v>0</v>
      </c>
      <c r="AI145" s="407">
        <f t="shared" si="106"/>
        <v>0</v>
      </c>
      <c r="AJ145" s="407">
        <f t="shared" si="106"/>
        <v>0</v>
      </c>
      <c r="AK145" s="407">
        <f t="shared" si="106"/>
        <v>2.5700000000000003</v>
      </c>
      <c r="AL145" s="407">
        <f t="shared" si="106"/>
        <v>0</v>
      </c>
      <c r="AM145" s="407">
        <f t="shared" si="106"/>
        <v>0</v>
      </c>
      <c r="AN145" s="407">
        <f t="shared" si="106"/>
        <v>0</v>
      </c>
      <c r="AO145" s="407">
        <f t="shared" si="106"/>
        <v>0</v>
      </c>
      <c r="AP145" s="407">
        <f t="shared" si="106"/>
        <v>3.0839999999999996</v>
      </c>
      <c r="AQ145" s="407">
        <f t="shared" si="106"/>
        <v>0</v>
      </c>
      <c r="AR145" s="407">
        <f t="shared" si="106"/>
        <v>0</v>
      </c>
      <c r="AS145" s="475">
        <f t="shared" si="106"/>
        <v>2.8395</v>
      </c>
      <c r="AT145" s="407">
        <f>SUM(AT146:AT150)</f>
        <v>277662245</v>
      </c>
      <c r="AU145" s="18"/>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row>
    <row r="146" spans="1:75" ht="15.75">
      <c r="A146" s="429">
        <v>1</v>
      </c>
      <c r="B146" s="430" t="s">
        <v>49</v>
      </c>
      <c r="C146" s="450"/>
      <c r="D146" s="450"/>
      <c r="E146" s="304">
        <f aca="true" t="shared" si="107" ref="E146:E172">F146+G146+X146</f>
        <v>0.4</v>
      </c>
      <c r="F146" s="305"/>
      <c r="G146" s="304">
        <f aca="true" t="shared" si="108" ref="G146:G172">H146+I146+J146+K146+L146+M146+N146+O146+P146+Q146+R146+S146+T146+U146+W146</f>
        <v>0.4</v>
      </c>
      <c r="H146" s="304"/>
      <c r="I146" s="304"/>
      <c r="J146" s="304"/>
      <c r="K146" s="304"/>
      <c r="L146" s="304"/>
      <c r="M146" s="304"/>
      <c r="N146" s="304"/>
      <c r="O146" s="304"/>
      <c r="P146" s="304"/>
      <c r="Q146" s="304"/>
      <c r="R146" s="304"/>
      <c r="S146" s="305">
        <v>0.4</v>
      </c>
      <c r="T146" s="304"/>
      <c r="U146" s="304"/>
      <c r="V146" s="304"/>
      <c r="W146" s="304"/>
      <c r="X146" s="304"/>
      <c r="Y146" s="307">
        <f aca="true" t="shared" si="109" ref="Y146:Y172">E146*1490000*12</f>
        <v>7152000</v>
      </c>
      <c r="Z146" s="313"/>
      <c r="AA146" s="332">
        <f>AB146+AC146+AS146</f>
        <v>5.9325</v>
      </c>
      <c r="AB146" s="431">
        <v>2.1</v>
      </c>
      <c r="AC146" s="332">
        <f>SUM(AD146:AR146)</f>
        <v>3.315</v>
      </c>
      <c r="AD146" s="332">
        <v>0.7</v>
      </c>
      <c r="AE146" s="411">
        <v>0.2</v>
      </c>
      <c r="AF146" s="332"/>
      <c r="AG146" s="332">
        <f>(AB146+AE146)*50%</f>
        <v>1.1500000000000001</v>
      </c>
      <c r="AH146" s="332"/>
      <c r="AI146" s="332"/>
      <c r="AJ146" s="332"/>
      <c r="AK146" s="332">
        <f>(AB146+AE146)*25%</f>
        <v>0.5750000000000001</v>
      </c>
      <c r="AL146" s="332"/>
      <c r="AM146" s="332"/>
      <c r="AN146" s="332"/>
      <c r="AO146" s="332"/>
      <c r="AP146" s="332">
        <f>(AB146+AE146)*30%</f>
        <v>0.6900000000000001</v>
      </c>
      <c r="AQ146" s="332"/>
      <c r="AR146" s="332"/>
      <c r="AS146" s="462">
        <f>(AB146+AE146)*22.5%</f>
        <v>0.5175000000000001</v>
      </c>
      <c r="AT146" s="333">
        <f>AA146*12*1490000</f>
        <v>106073100</v>
      </c>
      <c r="AU146" s="20"/>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row>
    <row r="147" spans="1:75" ht="15.75">
      <c r="A147" s="429">
        <v>2</v>
      </c>
      <c r="B147" s="430" t="s">
        <v>73</v>
      </c>
      <c r="C147" s="450"/>
      <c r="D147" s="450"/>
      <c r="E147" s="304">
        <f t="shared" si="107"/>
        <v>0.4</v>
      </c>
      <c r="F147" s="305"/>
      <c r="G147" s="304">
        <f t="shared" si="108"/>
        <v>0.4</v>
      </c>
      <c r="H147" s="304"/>
      <c r="I147" s="304"/>
      <c r="J147" s="304"/>
      <c r="K147" s="304"/>
      <c r="L147" s="304"/>
      <c r="M147" s="304"/>
      <c r="N147" s="304"/>
      <c r="O147" s="304"/>
      <c r="P147" s="304"/>
      <c r="Q147" s="304"/>
      <c r="R147" s="304"/>
      <c r="S147" s="305">
        <v>0.4</v>
      </c>
      <c r="T147" s="304"/>
      <c r="U147" s="304"/>
      <c r="V147" s="304"/>
      <c r="W147" s="304"/>
      <c r="X147" s="304"/>
      <c r="Y147" s="307">
        <f t="shared" si="109"/>
        <v>7152000</v>
      </c>
      <c r="Z147" s="334"/>
      <c r="AA147" s="332">
        <f>AB147+AC147+AS147</f>
        <v>6.0235</v>
      </c>
      <c r="AB147" s="431">
        <v>2.34</v>
      </c>
      <c r="AC147" s="332">
        <f>SUM(AD147:AR147)</f>
        <v>3.157</v>
      </c>
      <c r="AD147" s="332">
        <v>0.7</v>
      </c>
      <c r="AE147" s="411"/>
      <c r="AF147" s="335"/>
      <c r="AG147" s="332">
        <f>(AB147+AE147)*50%</f>
        <v>1.17</v>
      </c>
      <c r="AH147" s="335"/>
      <c r="AI147" s="335"/>
      <c r="AJ147" s="335"/>
      <c r="AK147" s="332">
        <f>(AB147+AE147)*25%</f>
        <v>0.585</v>
      </c>
      <c r="AL147" s="332"/>
      <c r="AM147" s="335"/>
      <c r="AN147" s="335"/>
      <c r="AO147" s="335"/>
      <c r="AP147" s="332">
        <f>(AB147+AE147)*30%</f>
        <v>0.702</v>
      </c>
      <c r="AQ147" s="332"/>
      <c r="AR147" s="335"/>
      <c r="AS147" s="462">
        <f>(AB147+AE147)*22.5%</f>
        <v>0.5265</v>
      </c>
      <c r="AT147" s="333">
        <f>AA147*1*1490000</f>
        <v>8975015</v>
      </c>
      <c r="AU147" s="20"/>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row>
    <row r="148" spans="1:75" ht="15.75">
      <c r="A148" s="429">
        <v>3</v>
      </c>
      <c r="B148" s="430" t="s">
        <v>45</v>
      </c>
      <c r="C148" s="450"/>
      <c r="D148" s="450"/>
      <c r="E148" s="304">
        <f t="shared" si="107"/>
        <v>0.4</v>
      </c>
      <c r="F148" s="305"/>
      <c r="G148" s="304">
        <f t="shared" si="108"/>
        <v>0.4</v>
      </c>
      <c r="H148" s="304"/>
      <c r="I148" s="304"/>
      <c r="J148" s="304"/>
      <c r="K148" s="304"/>
      <c r="L148" s="304"/>
      <c r="M148" s="304"/>
      <c r="N148" s="304"/>
      <c r="O148" s="304"/>
      <c r="P148" s="304"/>
      <c r="Q148" s="304"/>
      <c r="R148" s="304"/>
      <c r="S148" s="305">
        <v>0.4</v>
      </c>
      <c r="T148" s="304"/>
      <c r="U148" s="304"/>
      <c r="V148" s="304"/>
      <c r="W148" s="304"/>
      <c r="X148" s="304"/>
      <c r="Y148" s="307">
        <f t="shared" si="109"/>
        <v>7152000</v>
      </c>
      <c r="Z148" s="334"/>
      <c r="AA148" s="332">
        <f>AB148+AC148+AS148</f>
        <v>6.774249999999999</v>
      </c>
      <c r="AB148" s="432">
        <v>2.67</v>
      </c>
      <c r="AC148" s="332">
        <f>SUM(AD148:AR148)</f>
        <v>3.5035</v>
      </c>
      <c r="AD148" s="332">
        <v>0.7</v>
      </c>
      <c r="AE148" s="433"/>
      <c r="AF148" s="335"/>
      <c r="AG148" s="332">
        <f>(AB148+AE148)*50%</f>
        <v>1.335</v>
      </c>
      <c r="AH148" s="335"/>
      <c r="AI148" s="335"/>
      <c r="AJ148" s="335"/>
      <c r="AK148" s="332">
        <f>(AB148+AE148)*25%</f>
        <v>0.6675</v>
      </c>
      <c r="AL148" s="335"/>
      <c r="AM148" s="335"/>
      <c r="AN148" s="335"/>
      <c r="AO148" s="335"/>
      <c r="AP148" s="332">
        <f>(AB148+AE148)*30%</f>
        <v>0.8009999999999999</v>
      </c>
      <c r="AQ148" s="332"/>
      <c r="AR148" s="335"/>
      <c r="AS148" s="462">
        <f>(AB148+AE148)*22.5%</f>
        <v>0.60075</v>
      </c>
      <c r="AT148" s="333">
        <f>AA148*9*1490000</f>
        <v>90842692.5</v>
      </c>
      <c r="AU148" s="20"/>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row>
    <row r="149" spans="1:75" ht="15.75">
      <c r="A149" s="429">
        <v>4</v>
      </c>
      <c r="B149" s="430" t="s">
        <v>72</v>
      </c>
      <c r="C149" s="450"/>
      <c r="D149" s="450"/>
      <c r="E149" s="304">
        <f t="shared" si="107"/>
        <v>0.4</v>
      </c>
      <c r="F149" s="305"/>
      <c r="G149" s="304">
        <f t="shared" si="108"/>
        <v>0.4</v>
      </c>
      <c r="H149" s="304"/>
      <c r="I149" s="304"/>
      <c r="J149" s="304"/>
      <c r="K149" s="304"/>
      <c r="L149" s="304"/>
      <c r="M149" s="304"/>
      <c r="N149" s="304"/>
      <c r="O149" s="304"/>
      <c r="P149" s="304"/>
      <c r="Q149" s="304"/>
      <c r="R149" s="304"/>
      <c r="S149" s="305">
        <v>0.4</v>
      </c>
      <c r="T149" s="304"/>
      <c r="U149" s="304"/>
      <c r="V149" s="304"/>
      <c r="W149" s="304"/>
      <c r="X149" s="304"/>
      <c r="Y149" s="307">
        <f t="shared" si="109"/>
        <v>7152000</v>
      </c>
      <c r="Z149" s="313"/>
      <c r="AA149" s="332">
        <f>AB149+AC149+AS149</f>
        <v>2.8665</v>
      </c>
      <c r="AB149" s="332">
        <v>2.34</v>
      </c>
      <c r="AC149" s="332">
        <f>SUM(AD149:AR149)</f>
        <v>0</v>
      </c>
      <c r="AD149" s="332">
        <v>0</v>
      </c>
      <c r="AE149" s="313">
        <v>0</v>
      </c>
      <c r="AF149" s="313"/>
      <c r="AG149" s="332">
        <v>0</v>
      </c>
      <c r="AH149" s="313"/>
      <c r="AI149" s="313"/>
      <c r="AJ149" s="313"/>
      <c r="AK149" s="313"/>
      <c r="AL149" s="313"/>
      <c r="AM149" s="313"/>
      <c r="AN149" s="313"/>
      <c r="AO149" s="313"/>
      <c r="AP149" s="332"/>
      <c r="AQ149" s="313"/>
      <c r="AR149" s="313"/>
      <c r="AS149" s="462">
        <f>(AB149+AE149)*22.5%</f>
        <v>0.5265</v>
      </c>
      <c r="AT149" s="333">
        <f>AA149*9*1490000</f>
        <v>38439764.99999999</v>
      </c>
      <c r="AU149" s="20"/>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row>
    <row r="150" spans="1:75" ht="15.75">
      <c r="A150" s="429">
        <v>5</v>
      </c>
      <c r="B150" s="430" t="s">
        <v>71</v>
      </c>
      <c r="C150" s="450"/>
      <c r="D150" s="450"/>
      <c r="E150" s="304">
        <f t="shared" si="107"/>
        <v>0.4</v>
      </c>
      <c r="F150" s="305"/>
      <c r="G150" s="304">
        <f t="shared" si="108"/>
        <v>0.4</v>
      </c>
      <c r="H150" s="304"/>
      <c r="I150" s="304"/>
      <c r="J150" s="304"/>
      <c r="K150" s="304"/>
      <c r="L150" s="304"/>
      <c r="M150" s="304"/>
      <c r="N150" s="304"/>
      <c r="O150" s="304"/>
      <c r="P150" s="304"/>
      <c r="Q150" s="304"/>
      <c r="R150" s="304"/>
      <c r="S150" s="305">
        <v>0.4</v>
      </c>
      <c r="T150" s="304"/>
      <c r="U150" s="304"/>
      <c r="V150" s="304"/>
      <c r="W150" s="304"/>
      <c r="X150" s="304"/>
      <c r="Y150" s="307">
        <f t="shared" si="109"/>
        <v>7152000</v>
      </c>
      <c r="Z150" s="434"/>
      <c r="AA150" s="332">
        <f>AB150+AC150+AS150</f>
        <v>7.4567499999999995</v>
      </c>
      <c r="AB150" s="434">
        <v>2.67</v>
      </c>
      <c r="AC150" s="332">
        <f>SUM(AD150:AR150)</f>
        <v>4.1185</v>
      </c>
      <c r="AD150" s="434">
        <v>0.7</v>
      </c>
      <c r="AE150" s="434">
        <v>0.3</v>
      </c>
      <c r="AF150" s="434"/>
      <c r="AG150" s="434">
        <f>(AB150+AE150)*50%</f>
        <v>1.4849999999999999</v>
      </c>
      <c r="AH150" s="434"/>
      <c r="AI150" s="434"/>
      <c r="AJ150" s="434"/>
      <c r="AK150" s="434">
        <f>(AB150+AE150)*25%</f>
        <v>0.7424999999999999</v>
      </c>
      <c r="AL150" s="434"/>
      <c r="AM150" s="434"/>
      <c r="AN150" s="434"/>
      <c r="AO150" s="434"/>
      <c r="AP150" s="332">
        <f>(AB150+AE150)*30%</f>
        <v>0.8909999999999999</v>
      </c>
      <c r="AQ150" s="434"/>
      <c r="AR150" s="434"/>
      <c r="AS150" s="462">
        <f>(AB150+AE150)*22.5%</f>
        <v>0.66825</v>
      </c>
      <c r="AT150" s="435">
        <f>AA150*1490000*3</f>
        <v>33331672.5</v>
      </c>
      <c r="AU150" s="20"/>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row>
    <row r="151" spans="1:75" ht="15.75">
      <c r="A151" s="429">
        <v>6</v>
      </c>
      <c r="B151" s="430" t="s">
        <v>70</v>
      </c>
      <c r="C151" s="450"/>
      <c r="D151" s="450"/>
      <c r="E151" s="304">
        <f t="shared" si="107"/>
        <v>0.4</v>
      </c>
      <c r="F151" s="305"/>
      <c r="G151" s="304">
        <f t="shared" si="108"/>
        <v>0.4</v>
      </c>
      <c r="H151" s="304"/>
      <c r="I151" s="304"/>
      <c r="J151" s="304"/>
      <c r="K151" s="304"/>
      <c r="L151" s="304"/>
      <c r="M151" s="304"/>
      <c r="N151" s="304"/>
      <c r="O151" s="304"/>
      <c r="P151" s="304"/>
      <c r="Q151" s="304"/>
      <c r="R151" s="304"/>
      <c r="S151" s="305">
        <v>0.4</v>
      </c>
      <c r="T151" s="304"/>
      <c r="U151" s="304"/>
      <c r="V151" s="304"/>
      <c r="W151" s="304"/>
      <c r="X151" s="304"/>
      <c r="Y151" s="307">
        <f t="shared" si="109"/>
        <v>7152000</v>
      </c>
      <c r="Z151" s="436"/>
      <c r="AA151" s="437"/>
      <c r="AB151" s="436"/>
      <c r="AC151" s="436"/>
      <c r="AD151" s="436"/>
      <c r="AE151" s="436"/>
      <c r="AF151" s="436"/>
      <c r="AG151" s="436"/>
      <c r="AH151" s="436"/>
      <c r="AI151" s="436"/>
      <c r="AJ151" s="436"/>
      <c r="AK151" s="436"/>
      <c r="AL151" s="436"/>
      <c r="AM151" s="436"/>
      <c r="AN151" s="436"/>
      <c r="AO151" s="436"/>
      <c r="AP151" s="436"/>
      <c r="AQ151" s="436"/>
      <c r="AR151" s="436"/>
      <c r="AS151" s="436"/>
      <c r="AT151" s="435"/>
      <c r="AU151" s="20"/>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row>
    <row r="152" spans="1:75" ht="15.75">
      <c r="A152" s="429">
        <v>7</v>
      </c>
      <c r="B152" s="430" t="s">
        <v>36</v>
      </c>
      <c r="C152" s="450"/>
      <c r="D152" s="450"/>
      <c r="E152" s="304">
        <f t="shared" si="107"/>
        <v>0.4</v>
      </c>
      <c r="F152" s="305"/>
      <c r="G152" s="304">
        <f t="shared" si="108"/>
        <v>0.4</v>
      </c>
      <c r="H152" s="304"/>
      <c r="I152" s="304"/>
      <c r="J152" s="304"/>
      <c r="K152" s="304"/>
      <c r="L152" s="304"/>
      <c r="M152" s="304"/>
      <c r="N152" s="304"/>
      <c r="O152" s="304"/>
      <c r="P152" s="304"/>
      <c r="Q152" s="304"/>
      <c r="R152" s="304"/>
      <c r="S152" s="305">
        <v>0.4</v>
      </c>
      <c r="T152" s="304"/>
      <c r="U152" s="304"/>
      <c r="V152" s="304"/>
      <c r="W152" s="304"/>
      <c r="X152" s="304"/>
      <c r="Y152" s="307">
        <f t="shared" si="109"/>
        <v>7152000</v>
      </c>
      <c r="Z152" s="436"/>
      <c r="AA152" s="437"/>
      <c r="AB152" s="436"/>
      <c r="AC152" s="436"/>
      <c r="AD152" s="436"/>
      <c r="AE152" s="436"/>
      <c r="AF152" s="436"/>
      <c r="AG152" s="436"/>
      <c r="AH152" s="436"/>
      <c r="AI152" s="436"/>
      <c r="AJ152" s="436"/>
      <c r="AK152" s="436"/>
      <c r="AL152" s="436"/>
      <c r="AM152" s="436"/>
      <c r="AN152" s="436"/>
      <c r="AO152" s="436"/>
      <c r="AP152" s="436"/>
      <c r="AQ152" s="436"/>
      <c r="AR152" s="436"/>
      <c r="AS152" s="436"/>
      <c r="AT152" s="435"/>
      <c r="AU152" s="20"/>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row>
    <row r="153" spans="1:75" ht="15.75">
      <c r="A153" s="429">
        <v>8</v>
      </c>
      <c r="B153" s="430" t="s">
        <v>69</v>
      </c>
      <c r="C153" s="450"/>
      <c r="D153" s="450"/>
      <c r="E153" s="304">
        <f t="shared" si="107"/>
        <v>0.4</v>
      </c>
      <c r="F153" s="305"/>
      <c r="G153" s="304">
        <f t="shared" si="108"/>
        <v>0.4</v>
      </c>
      <c r="H153" s="304"/>
      <c r="I153" s="304"/>
      <c r="J153" s="304"/>
      <c r="K153" s="304"/>
      <c r="L153" s="304"/>
      <c r="M153" s="304"/>
      <c r="N153" s="304"/>
      <c r="O153" s="304"/>
      <c r="P153" s="304"/>
      <c r="Q153" s="304"/>
      <c r="R153" s="304"/>
      <c r="S153" s="305">
        <v>0.4</v>
      </c>
      <c r="T153" s="304"/>
      <c r="U153" s="304"/>
      <c r="V153" s="304"/>
      <c r="W153" s="304"/>
      <c r="X153" s="304"/>
      <c r="Y153" s="307">
        <f t="shared" si="109"/>
        <v>7152000</v>
      </c>
      <c r="Z153" s="436"/>
      <c r="AA153" s="437"/>
      <c r="AB153" s="436"/>
      <c r="AC153" s="436"/>
      <c r="AD153" s="436"/>
      <c r="AE153" s="436"/>
      <c r="AF153" s="436"/>
      <c r="AG153" s="436"/>
      <c r="AH153" s="436"/>
      <c r="AI153" s="436"/>
      <c r="AJ153" s="436"/>
      <c r="AK153" s="436"/>
      <c r="AL153" s="436"/>
      <c r="AM153" s="436"/>
      <c r="AN153" s="436"/>
      <c r="AO153" s="436"/>
      <c r="AP153" s="436"/>
      <c r="AQ153" s="436"/>
      <c r="AR153" s="436"/>
      <c r="AS153" s="436"/>
      <c r="AT153" s="435"/>
      <c r="AU153" s="20"/>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row>
    <row r="154" spans="1:75" ht="15.75">
      <c r="A154" s="429">
        <v>9</v>
      </c>
      <c r="B154" s="430" t="s">
        <v>68</v>
      </c>
      <c r="C154" s="450"/>
      <c r="D154" s="450"/>
      <c r="E154" s="304">
        <f t="shared" si="107"/>
        <v>0.4</v>
      </c>
      <c r="F154" s="305"/>
      <c r="G154" s="304">
        <f t="shared" si="108"/>
        <v>0.4</v>
      </c>
      <c r="H154" s="304"/>
      <c r="I154" s="304"/>
      <c r="J154" s="304"/>
      <c r="K154" s="304"/>
      <c r="L154" s="304"/>
      <c r="M154" s="304"/>
      <c r="N154" s="304"/>
      <c r="O154" s="304"/>
      <c r="P154" s="304"/>
      <c r="Q154" s="304"/>
      <c r="R154" s="304"/>
      <c r="S154" s="305">
        <v>0.4</v>
      </c>
      <c r="T154" s="304"/>
      <c r="U154" s="304"/>
      <c r="V154" s="304"/>
      <c r="W154" s="304"/>
      <c r="X154" s="304"/>
      <c r="Y154" s="307">
        <f t="shared" si="109"/>
        <v>7152000</v>
      </c>
      <c r="Z154" s="436"/>
      <c r="AA154" s="437"/>
      <c r="AB154" s="436"/>
      <c r="AC154" s="436"/>
      <c r="AD154" s="436"/>
      <c r="AE154" s="436"/>
      <c r="AF154" s="436"/>
      <c r="AG154" s="436"/>
      <c r="AH154" s="436"/>
      <c r="AI154" s="436"/>
      <c r="AJ154" s="436"/>
      <c r="AK154" s="436"/>
      <c r="AL154" s="436"/>
      <c r="AM154" s="436"/>
      <c r="AN154" s="436"/>
      <c r="AO154" s="436"/>
      <c r="AP154" s="436"/>
      <c r="AQ154" s="436"/>
      <c r="AR154" s="436"/>
      <c r="AS154" s="436"/>
      <c r="AT154" s="435"/>
      <c r="AU154" s="20"/>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row>
    <row r="155" spans="1:75" ht="15.75">
      <c r="A155" s="429">
        <v>10</v>
      </c>
      <c r="B155" s="430" t="s">
        <v>67</v>
      </c>
      <c r="C155" s="450"/>
      <c r="D155" s="450"/>
      <c r="E155" s="304">
        <f t="shared" si="107"/>
        <v>0.4</v>
      </c>
      <c r="F155" s="305"/>
      <c r="G155" s="304">
        <f t="shared" si="108"/>
        <v>0.4</v>
      </c>
      <c r="H155" s="304"/>
      <c r="I155" s="304"/>
      <c r="J155" s="304"/>
      <c r="K155" s="304"/>
      <c r="L155" s="304"/>
      <c r="M155" s="304"/>
      <c r="N155" s="304"/>
      <c r="O155" s="304"/>
      <c r="P155" s="304"/>
      <c r="Q155" s="304"/>
      <c r="R155" s="304"/>
      <c r="S155" s="305">
        <v>0.4</v>
      </c>
      <c r="T155" s="304"/>
      <c r="U155" s="304"/>
      <c r="V155" s="304"/>
      <c r="W155" s="304"/>
      <c r="X155" s="304"/>
      <c r="Y155" s="307">
        <f t="shared" si="109"/>
        <v>7152000</v>
      </c>
      <c r="Z155" s="436"/>
      <c r="AA155" s="437"/>
      <c r="AB155" s="436"/>
      <c r="AC155" s="436"/>
      <c r="AD155" s="436"/>
      <c r="AE155" s="436"/>
      <c r="AF155" s="436"/>
      <c r="AG155" s="436"/>
      <c r="AH155" s="436"/>
      <c r="AI155" s="436"/>
      <c r="AJ155" s="436"/>
      <c r="AK155" s="436"/>
      <c r="AL155" s="436"/>
      <c r="AM155" s="436"/>
      <c r="AN155" s="436"/>
      <c r="AO155" s="436"/>
      <c r="AP155" s="436"/>
      <c r="AQ155" s="436"/>
      <c r="AR155" s="436"/>
      <c r="AS155" s="436"/>
      <c r="AT155" s="435"/>
      <c r="AU155" s="20"/>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row>
    <row r="156" spans="1:75" ht="15.75">
      <c r="A156" s="429">
        <v>11</v>
      </c>
      <c r="B156" s="430" t="s">
        <v>66</v>
      </c>
      <c r="C156" s="450"/>
      <c r="D156" s="450"/>
      <c r="E156" s="304">
        <f t="shared" si="107"/>
        <v>0.4</v>
      </c>
      <c r="F156" s="305"/>
      <c r="G156" s="304">
        <f t="shared" si="108"/>
        <v>0.4</v>
      </c>
      <c r="H156" s="304"/>
      <c r="I156" s="304"/>
      <c r="J156" s="304"/>
      <c r="K156" s="304"/>
      <c r="L156" s="304"/>
      <c r="M156" s="304"/>
      <c r="N156" s="304"/>
      <c r="O156" s="304"/>
      <c r="P156" s="304"/>
      <c r="Q156" s="304"/>
      <c r="R156" s="304"/>
      <c r="S156" s="305">
        <v>0.4</v>
      </c>
      <c r="T156" s="304"/>
      <c r="U156" s="304"/>
      <c r="V156" s="304"/>
      <c r="W156" s="304"/>
      <c r="X156" s="304"/>
      <c r="Y156" s="307">
        <f t="shared" si="109"/>
        <v>7152000</v>
      </c>
      <c r="Z156" s="436"/>
      <c r="AA156" s="437"/>
      <c r="AB156" s="436"/>
      <c r="AC156" s="436"/>
      <c r="AD156" s="436"/>
      <c r="AE156" s="436"/>
      <c r="AF156" s="436"/>
      <c r="AG156" s="436"/>
      <c r="AH156" s="436"/>
      <c r="AI156" s="436"/>
      <c r="AJ156" s="436"/>
      <c r="AK156" s="436"/>
      <c r="AL156" s="436"/>
      <c r="AM156" s="436"/>
      <c r="AN156" s="436"/>
      <c r="AO156" s="436"/>
      <c r="AP156" s="436"/>
      <c r="AQ156" s="436"/>
      <c r="AR156" s="436"/>
      <c r="AS156" s="436"/>
      <c r="AT156" s="435"/>
      <c r="AU156" s="20"/>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row>
    <row r="157" spans="1:75" ht="15.75">
      <c r="A157" s="429">
        <v>12</v>
      </c>
      <c r="B157" s="430" t="s">
        <v>65</v>
      </c>
      <c r="C157" s="450"/>
      <c r="D157" s="450"/>
      <c r="E157" s="304">
        <f t="shared" si="107"/>
        <v>0.4</v>
      </c>
      <c r="F157" s="305"/>
      <c r="G157" s="304">
        <f t="shared" si="108"/>
        <v>0.4</v>
      </c>
      <c r="H157" s="304"/>
      <c r="I157" s="304"/>
      <c r="J157" s="304"/>
      <c r="K157" s="304"/>
      <c r="L157" s="304"/>
      <c r="M157" s="304"/>
      <c r="N157" s="304"/>
      <c r="O157" s="304"/>
      <c r="P157" s="304"/>
      <c r="Q157" s="304"/>
      <c r="R157" s="304"/>
      <c r="S157" s="305">
        <v>0.4</v>
      </c>
      <c r="T157" s="304"/>
      <c r="U157" s="304"/>
      <c r="V157" s="304"/>
      <c r="W157" s="304"/>
      <c r="X157" s="304"/>
      <c r="Y157" s="307">
        <f t="shared" si="109"/>
        <v>7152000</v>
      </c>
      <c r="Z157" s="436"/>
      <c r="AA157" s="437"/>
      <c r="AB157" s="436"/>
      <c r="AC157" s="436"/>
      <c r="AD157" s="436"/>
      <c r="AE157" s="436"/>
      <c r="AF157" s="436"/>
      <c r="AG157" s="436"/>
      <c r="AH157" s="436"/>
      <c r="AI157" s="436"/>
      <c r="AJ157" s="436"/>
      <c r="AK157" s="436"/>
      <c r="AL157" s="436"/>
      <c r="AM157" s="436"/>
      <c r="AN157" s="436"/>
      <c r="AO157" s="436"/>
      <c r="AP157" s="436"/>
      <c r="AQ157" s="436"/>
      <c r="AR157" s="436"/>
      <c r="AS157" s="436"/>
      <c r="AT157" s="435"/>
      <c r="AU157" s="20"/>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row>
    <row r="158" spans="1:75" ht="15.75">
      <c r="A158" s="429">
        <v>13</v>
      </c>
      <c r="B158" s="430" t="s">
        <v>47</v>
      </c>
      <c r="C158" s="450"/>
      <c r="D158" s="450"/>
      <c r="E158" s="304">
        <f t="shared" si="107"/>
        <v>0.4</v>
      </c>
      <c r="F158" s="305"/>
      <c r="G158" s="304">
        <f t="shared" si="108"/>
        <v>0.4</v>
      </c>
      <c r="H158" s="304"/>
      <c r="I158" s="304"/>
      <c r="J158" s="304"/>
      <c r="K158" s="304"/>
      <c r="L158" s="304"/>
      <c r="M158" s="304"/>
      <c r="N158" s="304"/>
      <c r="O158" s="304"/>
      <c r="P158" s="304"/>
      <c r="Q158" s="304"/>
      <c r="R158" s="304"/>
      <c r="S158" s="305">
        <v>0.4</v>
      </c>
      <c r="T158" s="304"/>
      <c r="U158" s="304"/>
      <c r="V158" s="304"/>
      <c r="W158" s="304"/>
      <c r="X158" s="304"/>
      <c r="Y158" s="307">
        <f t="shared" si="109"/>
        <v>7152000</v>
      </c>
      <c r="Z158" s="436"/>
      <c r="AA158" s="437"/>
      <c r="AB158" s="436"/>
      <c r="AC158" s="436"/>
      <c r="AD158" s="436"/>
      <c r="AE158" s="436"/>
      <c r="AF158" s="436"/>
      <c r="AG158" s="436"/>
      <c r="AH158" s="436"/>
      <c r="AI158" s="436"/>
      <c r="AJ158" s="436"/>
      <c r="AK158" s="436"/>
      <c r="AL158" s="436"/>
      <c r="AM158" s="436"/>
      <c r="AN158" s="436"/>
      <c r="AO158" s="436"/>
      <c r="AP158" s="436"/>
      <c r="AQ158" s="436"/>
      <c r="AR158" s="436"/>
      <c r="AS158" s="436"/>
      <c r="AT158" s="435"/>
      <c r="AU158" s="20"/>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row>
    <row r="159" spans="1:75" ht="15.75">
      <c r="A159" s="429">
        <v>14</v>
      </c>
      <c r="B159" s="430" t="s">
        <v>30</v>
      </c>
      <c r="C159" s="450"/>
      <c r="D159" s="450"/>
      <c r="E159" s="304">
        <f t="shared" si="107"/>
        <v>0.4</v>
      </c>
      <c r="F159" s="305"/>
      <c r="G159" s="304">
        <f t="shared" si="108"/>
        <v>0.4</v>
      </c>
      <c r="H159" s="304"/>
      <c r="I159" s="304"/>
      <c r="J159" s="304"/>
      <c r="K159" s="304"/>
      <c r="L159" s="304"/>
      <c r="M159" s="304"/>
      <c r="N159" s="304"/>
      <c r="O159" s="304"/>
      <c r="P159" s="304"/>
      <c r="Q159" s="304"/>
      <c r="R159" s="304"/>
      <c r="S159" s="305">
        <v>0.4</v>
      </c>
      <c r="T159" s="304"/>
      <c r="U159" s="304"/>
      <c r="V159" s="304"/>
      <c r="W159" s="304"/>
      <c r="X159" s="304"/>
      <c r="Y159" s="307">
        <f t="shared" si="109"/>
        <v>7152000</v>
      </c>
      <c r="Z159" s="436"/>
      <c r="AA159" s="437"/>
      <c r="AB159" s="436"/>
      <c r="AC159" s="436"/>
      <c r="AD159" s="436"/>
      <c r="AE159" s="436"/>
      <c r="AF159" s="436"/>
      <c r="AG159" s="436"/>
      <c r="AH159" s="436"/>
      <c r="AI159" s="436"/>
      <c r="AJ159" s="436"/>
      <c r="AK159" s="436"/>
      <c r="AL159" s="436"/>
      <c r="AM159" s="436"/>
      <c r="AN159" s="436"/>
      <c r="AO159" s="436"/>
      <c r="AP159" s="436"/>
      <c r="AQ159" s="436"/>
      <c r="AR159" s="436"/>
      <c r="AS159" s="436"/>
      <c r="AT159" s="435"/>
      <c r="AU159" s="20"/>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row>
    <row r="160" spans="1:75" ht="15.75">
      <c r="A160" s="429">
        <v>15</v>
      </c>
      <c r="B160" s="430" t="s">
        <v>38</v>
      </c>
      <c r="C160" s="450"/>
      <c r="D160" s="450"/>
      <c r="E160" s="304">
        <f t="shared" si="107"/>
        <v>0.4</v>
      </c>
      <c r="F160" s="305"/>
      <c r="G160" s="304">
        <f t="shared" si="108"/>
        <v>0.4</v>
      </c>
      <c r="H160" s="304"/>
      <c r="I160" s="304"/>
      <c r="J160" s="304"/>
      <c r="K160" s="304"/>
      <c r="L160" s="304"/>
      <c r="M160" s="304"/>
      <c r="N160" s="304"/>
      <c r="O160" s="304"/>
      <c r="P160" s="304"/>
      <c r="Q160" s="304"/>
      <c r="R160" s="304"/>
      <c r="S160" s="305">
        <v>0.4</v>
      </c>
      <c r="T160" s="304"/>
      <c r="U160" s="304"/>
      <c r="V160" s="304"/>
      <c r="W160" s="304"/>
      <c r="X160" s="304"/>
      <c r="Y160" s="307">
        <f t="shared" si="109"/>
        <v>7152000</v>
      </c>
      <c r="Z160" s="436"/>
      <c r="AA160" s="437"/>
      <c r="AB160" s="436"/>
      <c r="AC160" s="436"/>
      <c r="AD160" s="436"/>
      <c r="AE160" s="436"/>
      <c r="AF160" s="436"/>
      <c r="AG160" s="436"/>
      <c r="AH160" s="436"/>
      <c r="AI160" s="436"/>
      <c r="AJ160" s="436"/>
      <c r="AK160" s="436"/>
      <c r="AL160" s="436"/>
      <c r="AM160" s="436"/>
      <c r="AN160" s="436"/>
      <c r="AO160" s="436"/>
      <c r="AP160" s="436"/>
      <c r="AQ160" s="436"/>
      <c r="AR160" s="436"/>
      <c r="AS160" s="436"/>
      <c r="AT160" s="435"/>
      <c r="AU160" s="20"/>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row>
    <row r="161" spans="1:75" ht="15.75">
      <c r="A161" s="429">
        <v>16</v>
      </c>
      <c r="B161" s="430" t="s">
        <v>64</v>
      </c>
      <c r="C161" s="450"/>
      <c r="D161" s="450"/>
      <c r="E161" s="304">
        <f t="shared" si="107"/>
        <v>0.4</v>
      </c>
      <c r="F161" s="305"/>
      <c r="G161" s="304">
        <f t="shared" si="108"/>
        <v>0.4</v>
      </c>
      <c r="H161" s="304"/>
      <c r="I161" s="304"/>
      <c r="J161" s="304"/>
      <c r="K161" s="304"/>
      <c r="L161" s="304"/>
      <c r="M161" s="304"/>
      <c r="N161" s="304"/>
      <c r="O161" s="304"/>
      <c r="P161" s="304"/>
      <c r="Q161" s="304"/>
      <c r="R161" s="304"/>
      <c r="S161" s="305">
        <v>0.4</v>
      </c>
      <c r="T161" s="304"/>
      <c r="U161" s="304"/>
      <c r="V161" s="304"/>
      <c r="W161" s="304"/>
      <c r="X161" s="304"/>
      <c r="Y161" s="307">
        <f t="shared" si="109"/>
        <v>7152000</v>
      </c>
      <c r="Z161" s="436"/>
      <c r="AA161" s="437"/>
      <c r="AB161" s="436"/>
      <c r="AC161" s="436"/>
      <c r="AD161" s="436"/>
      <c r="AE161" s="436"/>
      <c r="AF161" s="436"/>
      <c r="AG161" s="436"/>
      <c r="AH161" s="436"/>
      <c r="AI161" s="436"/>
      <c r="AJ161" s="436"/>
      <c r="AK161" s="436"/>
      <c r="AL161" s="436"/>
      <c r="AM161" s="436"/>
      <c r="AN161" s="436"/>
      <c r="AO161" s="436"/>
      <c r="AP161" s="436"/>
      <c r="AQ161" s="436"/>
      <c r="AR161" s="436"/>
      <c r="AS161" s="436"/>
      <c r="AT161" s="435"/>
      <c r="AU161" s="20"/>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row>
    <row r="162" spans="1:75" ht="15.75">
      <c r="A162" s="429">
        <v>17</v>
      </c>
      <c r="B162" s="430" t="s">
        <v>63</v>
      </c>
      <c r="C162" s="450"/>
      <c r="D162" s="450"/>
      <c r="E162" s="304">
        <f t="shared" si="107"/>
        <v>0.4</v>
      </c>
      <c r="F162" s="305"/>
      <c r="G162" s="304">
        <f t="shared" si="108"/>
        <v>0.4</v>
      </c>
      <c r="H162" s="304"/>
      <c r="I162" s="304"/>
      <c r="J162" s="304"/>
      <c r="K162" s="304"/>
      <c r="L162" s="304"/>
      <c r="M162" s="304"/>
      <c r="N162" s="304"/>
      <c r="O162" s="304"/>
      <c r="P162" s="304"/>
      <c r="Q162" s="304"/>
      <c r="R162" s="304"/>
      <c r="S162" s="305">
        <v>0.4</v>
      </c>
      <c r="T162" s="304"/>
      <c r="U162" s="304"/>
      <c r="V162" s="304"/>
      <c r="W162" s="304"/>
      <c r="X162" s="304"/>
      <c r="Y162" s="307">
        <f t="shared" si="109"/>
        <v>7152000</v>
      </c>
      <c r="Z162" s="436"/>
      <c r="AA162" s="437"/>
      <c r="AB162" s="436"/>
      <c r="AC162" s="436"/>
      <c r="AD162" s="436"/>
      <c r="AE162" s="436"/>
      <c r="AF162" s="436"/>
      <c r="AG162" s="436"/>
      <c r="AH162" s="436"/>
      <c r="AI162" s="436"/>
      <c r="AJ162" s="436"/>
      <c r="AK162" s="436"/>
      <c r="AL162" s="436"/>
      <c r="AM162" s="436"/>
      <c r="AN162" s="436"/>
      <c r="AO162" s="436"/>
      <c r="AP162" s="436"/>
      <c r="AQ162" s="436"/>
      <c r="AR162" s="436"/>
      <c r="AS162" s="436"/>
      <c r="AT162" s="435"/>
      <c r="AU162" s="20"/>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row>
    <row r="163" spans="1:75" ht="15.75">
      <c r="A163" s="429">
        <v>18</v>
      </c>
      <c r="B163" s="430" t="s">
        <v>62</v>
      </c>
      <c r="C163" s="450"/>
      <c r="D163" s="450"/>
      <c r="E163" s="304">
        <f t="shared" si="107"/>
        <v>0.4</v>
      </c>
      <c r="F163" s="305"/>
      <c r="G163" s="304">
        <f t="shared" si="108"/>
        <v>0.4</v>
      </c>
      <c r="H163" s="304"/>
      <c r="I163" s="304"/>
      <c r="J163" s="304"/>
      <c r="K163" s="304"/>
      <c r="L163" s="304"/>
      <c r="M163" s="304"/>
      <c r="N163" s="304"/>
      <c r="O163" s="304"/>
      <c r="P163" s="304"/>
      <c r="Q163" s="304"/>
      <c r="R163" s="304"/>
      <c r="S163" s="305">
        <v>0.4</v>
      </c>
      <c r="T163" s="304"/>
      <c r="U163" s="304"/>
      <c r="V163" s="304"/>
      <c r="W163" s="304"/>
      <c r="X163" s="304"/>
      <c r="Y163" s="307">
        <f t="shared" si="109"/>
        <v>7152000</v>
      </c>
      <c r="Z163" s="436"/>
      <c r="AA163" s="437"/>
      <c r="AB163" s="436"/>
      <c r="AC163" s="436"/>
      <c r="AD163" s="436"/>
      <c r="AE163" s="436"/>
      <c r="AF163" s="436"/>
      <c r="AG163" s="436"/>
      <c r="AH163" s="436"/>
      <c r="AI163" s="436"/>
      <c r="AJ163" s="436"/>
      <c r="AK163" s="436"/>
      <c r="AL163" s="436"/>
      <c r="AM163" s="436"/>
      <c r="AN163" s="436"/>
      <c r="AO163" s="436"/>
      <c r="AP163" s="436"/>
      <c r="AQ163" s="436"/>
      <c r="AR163" s="436"/>
      <c r="AS163" s="436"/>
      <c r="AT163" s="435"/>
      <c r="AU163" s="20"/>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row>
    <row r="164" spans="1:75" ht="15.75">
      <c r="A164" s="429">
        <v>19</v>
      </c>
      <c r="B164" s="430" t="s">
        <v>61</v>
      </c>
      <c r="C164" s="450"/>
      <c r="D164" s="450"/>
      <c r="E164" s="304">
        <f t="shared" si="107"/>
        <v>0.4</v>
      </c>
      <c r="F164" s="305"/>
      <c r="G164" s="304">
        <f t="shared" si="108"/>
        <v>0.4</v>
      </c>
      <c r="H164" s="304"/>
      <c r="I164" s="304"/>
      <c r="J164" s="304"/>
      <c r="K164" s="304"/>
      <c r="L164" s="304"/>
      <c r="M164" s="304"/>
      <c r="N164" s="304"/>
      <c r="O164" s="304"/>
      <c r="P164" s="304"/>
      <c r="Q164" s="304"/>
      <c r="R164" s="304"/>
      <c r="S164" s="305">
        <v>0.4</v>
      </c>
      <c r="T164" s="304"/>
      <c r="U164" s="304"/>
      <c r="V164" s="304"/>
      <c r="W164" s="304"/>
      <c r="X164" s="304"/>
      <c r="Y164" s="307">
        <f t="shared" si="109"/>
        <v>7152000</v>
      </c>
      <c r="Z164" s="436"/>
      <c r="AA164" s="437"/>
      <c r="AB164" s="436"/>
      <c r="AC164" s="436"/>
      <c r="AD164" s="436"/>
      <c r="AE164" s="436"/>
      <c r="AF164" s="436"/>
      <c r="AG164" s="436"/>
      <c r="AH164" s="436"/>
      <c r="AI164" s="436"/>
      <c r="AJ164" s="436"/>
      <c r="AK164" s="436"/>
      <c r="AL164" s="436"/>
      <c r="AM164" s="436"/>
      <c r="AN164" s="436"/>
      <c r="AO164" s="436"/>
      <c r="AP164" s="436"/>
      <c r="AQ164" s="436"/>
      <c r="AR164" s="436"/>
      <c r="AS164" s="436"/>
      <c r="AT164" s="435"/>
      <c r="AU164" s="20"/>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row>
    <row r="165" spans="1:75" ht="15.75">
      <c r="A165" s="429">
        <v>20</v>
      </c>
      <c r="B165" s="430" t="s">
        <v>60</v>
      </c>
      <c r="C165" s="450"/>
      <c r="D165" s="450"/>
      <c r="E165" s="304">
        <f t="shared" si="107"/>
        <v>0.4</v>
      </c>
      <c r="F165" s="305"/>
      <c r="G165" s="304">
        <f t="shared" si="108"/>
        <v>0.4</v>
      </c>
      <c r="H165" s="304"/>
      <c r="I165" s="304"/>
      <c r="J165" s="304"/>
      <c r="K165" s="304"/>
      <c r="L165" s="304"/>
      <c r="M165" s="304"/>
      <c r="N165" s="304"/>
      <c r="O165" s="304"/>
      <c r="P165" s="304"/>
      <c r="Q165" s="304"/>
      <c r="R165" s="304"/>
      <c r="S165" s="305">
        <v>0.4</v>
      </c>
      <c r="T165" s="304"/>
      <c r="U165" s="304"/>
      <c r="V165" s="304"/>
      <c r="W165" s="304"/>
      <c r="X165" s="304"/>
      <c r="Y165" s="307">
        <f t="shared" si="109"/>
        <v>7152000</v>
      </c>
      <c r="Z165" s="436"/>
      <c r="AA165" s="437"/>
      <c r="AB165" s="436"/>
      <c r="AC165" s="436"/>
      <c r="AD165" s="436"/>
      <c r="AE165" s="436"/>
      <c r="AF165" s="436"/>
      <c r="AG165" s="436"/>
      <c r="AH165" s="436"/>
      <c r="AI165" s="436"/>
      <c r="AJ165" s="436"/>
      <c r="AK165" s="436"/>
      <c r="AL165" s="436"/>
      <c r="AM165" s="436"/>
      <c r="AN165" s="436"/>
      <c r="AO165" s="436"/>
      <c r="AP165" s="436"/>
      <c r="AQ165" s="436"/>
      <c r="AR165" s="436"/>
      <c r="AS165" s="436"/>
      <c r="AT165" s="435"/>
      <c r="AU165" s="20"/>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row>
    <row r="166" spans="1:75" ht="15.75">
      <c r="A166" s="429">
        <v>21</v>
      </c>
      <c r="B166" s="430" t="s">
        <v>32</v>
      </c>
      <c r="C166" s="450"/>
      <c r="D166" s="450"/>
      <c r="E166" s="304">
        <f t="shared" si="107"/>
        <v>0.4</v>
      </c>
      <c r="F166" s="305"/>
      <c r="G166" s="304">
        <f t="shared" si="108"/>
        <v>0.4</v>
      </c>
      <c r="H166" s="304"/>
      <c r="I166" s="304"/>
      <c r="J166" s="304"/>
      <c r="K166" s="304"/>
      <c r="L166" s="304"/>
      <c r="M166" s="304"/>
      <c r="N166" s="304"/>
      <c r="O166" s="304"/>
      <c r="P166" s="304"/>
      <c r="Q166" s="304"/>
      <c r="R166" s="304"/>
      <c r="S166" s="305">
        <v>0.4</v>
      </c>
      <c r="T166" s="304"/>
      <c r="U166" s="304"/>
      <c r="V166" s="304"/>
      <c r="W166" s="304"/>
      <c r="X166" s="304"/>
      <c r="Y166" s="307">
        <f t="shared" si="109"/>
        <v>7152000</v>
      </c>
      <c r="Z166" s="436"/>
      <c r="AA166" s="437"/>
      <c r="AB166" s="436"/>
      <c r="AC166" s="436"/>
      <c r="AD166" s="436"/>
      <c r="AE166" s="436"/>
      <c r="AF166" s="436"/>
      <c r="AG166" s="436"/>
      <c r="AH166" s="436"/>
      <c r="AI166" s="436"/>
      <c r="AJ166" s="436"/>
      <c r="AK166" s="436"/>
      <c r="AL166" s="436"/>
      <c r="AM166" s="436"/>
      <c r="AN166" s="436"/>
      <c r="AO166" s="436"/>
      <c r="AP166" s="436"/>
      <c r="AQ166" s="436"/>
      <c r="AR166" s="436"/>
      <c r="AS166" s="436"/>
      <c r="AT166" s="435"/>
      <c r="AU166" s="20"/>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row>
    <row r="167" spans="1:75" ht="15.75">
      <c r="A167" s="429">
        <v>22</v>
      </c>
      <c r="B167" s="430" t="s">
        <v>44</v>
      </c>
      <c r="C167" s="450"/>
      <c r="D167" s="450"/>
      <c r="E167" s="304">
        <f t="shared" si="107"/>
        <v>0.4</v>
      </c>
      <c r="F167" s="305"/>
      <c r="G167" s="304">
        <f t="shared" si="108"/>
        <v>0.4</v>
      </c>
      <c r="H167" s="304"/>
      <c r="I167" s="304"/>
      <c r="J167" s="304"/>
      <c r="K167" s="304"/>
      <c r="L167" s="304"/>
      <c r="M167" s="304"/>
      <c r="N167" s="304"/>
      <c r="O167" s="304"/>
      <c r="P167" s="304"/>
      <c r="Q167" s="304"/>
      <c r="R167" s="304"/>
      <c r="S167" s="305">
        <v>0.4</v>
      </c>
      <c r="T167" s="304"/>
      <c r="U167" s="304"/>
      <c r="V167" s="304"/>
      <c r="W167" s="304"/>
      <c r="X167" s="304"/>
      <c r="Y167" s="307">
        <f t="shared" si="109"/>
        <v>7152000</v>
      </c>
      <c r="Z167" s="436"/>
      <c r="AA167" s="437"/>
      <c r="AB167" s="436"/>
      <c r="AC167" s="436"/>
      <c r="AD167" s="436"/>
      <c r="AE167" s="436"/>
      <c r="AF167" s="436"/>
      <c r="AG167" s="436"/>
      <c r="AH167" s="436"/>
      <c r="AI167" s="436"/>
      <c r="AJ167" s="436"/>
      <c r="AK167" s="436"/>
      <c r="AL167" s="436"/>
      <c r="AM167" s="436"/>
      <c r="AN167" s="436"/>
      <c r="AO167" s="436"/>
      <c r="AP167" s="436"/>
      <c r="AQ167" s="436"/>
      <c r="AR167" s="436"/>
      <c r="AS167" s="436"/>
      <c r="AT167" s="435"/>
      <c r="AU167" s="20"/>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row>
    <row r="168" spans="1:75" ht="15.75">
      <c r="A168" s="429">
        <v>23</v>
      </c>
      <c r="B168" s="430" t="s">
        <v>59</v>
      </c>
      <c r="C168" s="450"/>
      <c r="D168" s="450"/>
      <c r="E168" s="304">
        <f t="shared" si="107"/>
        <v>0.4</v>
      </c>
      <c r="F168" s="305"/>
      <c r="G168" s="304">
        <f t="shared" si="108"/>
        <v>0.4</v>
      </c>
      <c r="H168" s="304"/>
      <c r="I168" s="304"/>
      <c r="J168" s="304"/>
      <c r="K168" s="304"/>
      <c r="L168" s="304"/>
      <c r="M168" s="304"/>
      <c r="N168" s="304"/>
      <c r="O168" s="304"/>
      <c r="P168" s="304"/>
      <c r="Q168" s="304"/>
      <c r="R168" s="304"/>
      <c r="S168" s="305">
        <v>0.4</v>
      </c>
      <c r="T168" s="304"/>
      <c r="U168" s="304"/>
      <c r="V168" s="304"/>
      <c r="W168" s="304"/>
      <c r="X168" s="304"/>
      <c r="Y168" s="307">
        <f t="shared" si="109"/>
        <v>7152000</v>
      </c>
      <c r="Z168" s="436"/>
      <c r="AA168" s="437"/>
      <c r="AB168" s="436"/>
      <c r="AC168" s="436"/>
      <c r="AD168" s="436"/>
      <c r="AE168" s="436"/>
      <c r="AF168" s="436"/>
      <c r="AG168" s="436"/>
      <c r="AH168" s="436"/>
      <c r="AI168" s="436"/>
      <c r="AJ168" s="436"/>
      <c r="AK168" s="436"/>
      <c r="AL168" s="436"/>
      <c r="AM168" s="436"/>
      <c r="AN168" s="436"/>
      <c r="AO168" s="436"/>
      <c r="AP168" s="436"/>
      <c r="AQ168" s="436"/>
      <c r="AR168" s="436"/>
      <c r="AS168" s="436"/>
      <c r="AT168" s="435"/>
      <c r="AU168" s="20"/>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row>
    <row r="169" spans="1:75" ht="15.75">
      <c r="A169" s="429">
        <v>24</v>
      </c>
      <c r="B169" s="430" t="s">
        <v>41</v>
      </c>
      <c r="C169" s="450"/>
      <c r="D169" s="450"/>
      <c r="E169" s="304">
        <f t="shared" si="107"/>
        <v>0.4</v>
      </c>
      <c r="F169" s="305"/>
      <c r="G169" s="304">
        <f t="shared" si="108"/>
        <v>0.4</v>
      </c>
      <c r="H169" s="304"/>
      <c r="I169" s="304"/>
      <c r="J169" s="304"/>
      <c r="K169" s="304"/>
      <c r="L169" s="304"/>
      <c r="M169" s="304"/>
      <c r="N169" s="304"/>
      <c r="O169" s="304"/>
      <c r="P169" s="304"/>
      <c r="Q169" s="304"/>
      <c r="R169" s="304"/>
      <c r="S169" s="305">
        <v>0.4</v>
      </c>
      <c r="T169" s="304"/>
      <c r="U169" s="304"/>
      <c r="V169" s="304"/>
      <c r="W169" s="304"/>
      <c r="X169" s="304"/>
      <c r="Y169" s="307">
        <f t="shared" si="109"/>
        <v>7152000</v>
      </c>
      <c r="Z169" s="436"/>
      <c r="AA169" s="437"/>
      <c r="AB169" s="436"/>
      <c r="AC169" s="436"/>
      <c r="AD169" s="436"/>
      <c r="AE169" s="436"/>
      <c r="AF169" s="436"/>
      <c r="AG169" s="436"/>
      <c r="AH169" s="436"/>
      <c r="AI169" s="436"/>
      <c r="AJ169" s="436"/>
      <c r="AK169" s="436"/>
      <c r="AL169" s="436"/>
      <c r="AM169" s="436"/>
      <c r="AN169" s="436"/>
      <c r="AO169" s="436"/>
      <c r="AP169" s="436"/>
      <c r="AQ169" s="436"/>
      <c r="AR169" s="436"/>
      <c r="AS169" s="436"/>
      <c r="AT169" s="435"/>
      <c r="AU169" s="20"/>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row>
    <row r="170" spans="1:75" ht="15.75">
      <c r="A170" s="429">
        <v>25</v>
      </c>
      <c r="B170" s="430" t="s">
        <v>58</v>
      </c>
      <c r="C170" s="450"/>
      <c r="D170" s="450"/>
      <c r="E170" s="304">
        <f t="shared" si="107"/>
        <v>0.4</v>
      </c>
      <c r="F170" s="305"/>
      <c r="G170" s="304">
        <f t="shared" si="108"/>
        <v>0.4</v>
      </c>
      <c r="H170" s="304"/>
      <c r="I170" s="304"/>
      <c r="J170" s="304"/>
      <c r="K170" s="304"/>
      <c r="L170" s="304"/>
      <c r="M170" s="304"/>
      <c r="N170" s="304"/>
      <c r="O170" s="304"/>
      <c r="P170" s="304"/>
      <c r="Q170" s="304"/>
      <c r="R170" s="304"/>
      <c r="S170" s="305">
        <v>0.4</v>
      </c>
      <c r="T170" s="304"/>
      <c r="U170" s="304"/>
      <c r="V170" s="304"/>
      <c r="W170" s="304"/>
      <c r="X170" s="304"/>
      <c r="Y170" s="307">
        <f t="shared" si="109"/>
        <v>7152000</v>
      </c>
      <c r="Z170" s="436"/>
      <c r="AA170" s="437"/>
      <c r="AB170" s="436"/>
      <c r="AC170" s="436"/>
      <c r="AD170" s="436"/>
      <c r="AE170" s="436"/>
      <c r="AF170" s="436"/>
      <c r="AG170" s="436"/>
      <c r="AH170" s="436"/>
      <c r="AI170" s="436"/>
      <c r="AJ170" s="436"/>
      <c r="AK170" s="436"/>
      <c r="AL170" s="436"/>
      <c r="AM170" s="436"/>
      <c r="AN170" s="436"/>
      <c r="AO170" s="436"/>
      <c r="AP170" s="436"/>
      <c r="AQ170" s="436"/>
      <c r="AR170" s="436"/>
      <c r="AS170" s="436"/>
      <c r="AT170" s="435"/>
      <c r="AU170" s="20"/>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row>
    <row r="171" spans="1:75" ht="15.75">
      <c r="A171" s="429">
        <v>26</v>
      </c>
      <c r="B171" s="430" t="s">
        <v>43</v>
      </c>
      <c r="C171" s="450"/>
      <c r="D171" s="450"/>
      <c r="E171" s="304">
        <f t="shared" si="107"/>
        <v>0.4</v>
      </c>
      <c r="F171" s="305"/>
      <c r="G171" s="304">
        <f t="shared" si="108"/>
        <v>0.4</v>
      </c>
      <c r="H171" s="304"/>
      <c r="I171" s="304"/>
      <c r="J171" s="304"/>
      <c r="K171" s="304"/>
      <c r="L171" s="304"/>
      <c r="M171" s="304"/>
      <c r="N171" s="304"/>
      <c r="O171" s="304"/>
      <c r="P171" s="304"/>
      <c r="Q171" s="304"/>
      <c r="R171" s="304"/>
      <c r="S171" s="305">
        <v>0.4</v>
      </c>
      <c r="T171" s="304"/>
      <c r="U171" s="304"/>
      <c r="V171" s="304"/>
      <c r="W171" s="304"/>
      <c r="X171" s="304"/>
      <c r="Y171" s="307">
        <f t="shared" si="109"/>
        <v>7152000</v>
      </c>
      <c r="Z171" s="436"/>
      <c r="AA171" s="437"/>
      <c r="AB171" s="436"/>
      <c r="AC171" s="436"/>
      <c r="AD171" s="436"/>
      <c r="AE171" s="436"/>
      <c r="AF171" s="436"/>
      <c r="AG171" s="436"/>
      <c r="AH171" s="436"/>
      <c r="AI171" s="436"/>
      <c r="AJ171" s="436"/>
      <c r="AK171" s="436"/>
      <c r="AL171" s="436"/>
      <c r="AM171" s="436"/>
      <c r="AN171" s="436"/>
      <c r="AO171" s="436"/>
      <c r="AP171" s="436"/>
      <c r="AQ171" s="436"/>
      <c r="AR171" s="436"/>
      <c r="AS171" s="436"/>
      <c r="AT171" s="435"/>
      <c r="AU171" s="20"/>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row>
    <row r="172" spans="1:75" ht="15.75">
      <c r="A172" s="429">
        <v>27</v>
      </c>
      <c r="B172" s="430" t="s">
        <v>57</v>
      </c>
      <c r="C172" s="450"/>
      <c r="D172" s="450"/>
      <c r="E172" s="304">
        <f t="shared" si="107"/>
        <v>0.4</v>
      </c>
      <c r="F172" s="305"/>
      <c r="G172" s="304">
        <f t="shared" si="108"/>
        <v>0.4</v>
      </c>
      <c r="H172" s="304"/>
      <c r="I172" s="304"/>
      <c r="J172" s="304"/>
      <c r="K172" s="304"/>
      <c r="L172" s="304"/>
      <c r="M172" s="304"/>
      <c r="N172" s="304"/>
      <c r="O172" s="304"/>
      <c r="P172" s="304"/>
      <c r="Q172" s="304"/>
      <c r="R172" s="304"/>
      <c r="S172" s="305">
        <v>0.4</v>
      </c>
      <c r="T172" s="304"/>
      <c r="U172" s="304"/>
      <c r="V172" s="304"/>
      <c r="W172" s="304"/>
      <c r="X172" s="304"/>
      <c r="Y172" s="307">
        <f t="shared" si="109"/>
        <v>7152000</v>
      </c>
      <c r="Z172" s="436"/>
      <c r="AA172" s="437"/>
      <c r="AB172" s="436"/>
      <c r="AC172" s="436"/>
      <c r="AD172" s="436"/>
      <c r="AE172" s="436"/>
      <c r="AF172" s="436"/>
      <c r="AG172" s="436"/>
      <c r="AH172" s="436"/>
      <c r="AI172" s="436"/>
      <c r="AJ172" s="436"/>
      <c r="AK172" s="436"/>
      <c r="AL172" s="436"/>
      <c r="AM172" s="436"/>
      <c r="AN172" s="436"/>
      <c r="AO172" s="436"/>
      <c r="AP172" s="436"/>
      <c r="AQ172" s="436"/>
      <c r="AR172" s="436"/>
      <c r="AS172" s="436"/>
      <c r="AT172" s="435"/>
      <c r="AU172" s="20"/>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row>
    <row r="173" spans="1:75" ht="31.5">
      <c r="A173" s="425" t="s">
        <v>15</v>
      </c>
      <c r="B173" s="426" t="s">
        <v>56</v>
      </c>
      <c r="C173" s="449"/>
      <c r="D173" s="449"/>
      <c r="E173" s="299">
        <f>E174+'[1]sheet2'!E430+'[1]sheet2'!E439+'[1]sheet2'!E449</f>
        <v>10.800000000000004</v>
      </c>
      <c r="F173" s="299">
        <f>F174+'[1]sheet2'!F430+'[1]sheet2'!F439+'[1]sheet2'!F449</f>
        <v>0</v>
      </c>
      <c r="G173" s="299">
        <f>G174+'[1]sheet2'!G430+'[1]sheet2'!G439+'[1]sheet2'!G449</f>
        <v>10.800000000000004</v>
      </c>
      <c r="H173" s="299">
        <f>H174+'[1]sheet2'!H430+'[1]sheet2'!H439+'[1]sheet2'!H449</f>
        <v>0</v>
      </c>
      <c r="I173" s="299">
        <f>I174+'[1]sheet2'!I430+'[1]sheet2'!I439+'[1]sheet2'!I449</f>
        <v>0</v>
      </c>
      <c r="J173" s="299">
        <f>J174+'[1]sheet2'!J430+'[1]sheet2'!J439+'[1]sheet2'!J449</f>
        <v>0</v>
      </c>
      <c r="K173" s="299">
        <f>K174+'[1]sheet2'!K430+'[1]sheet2'!K439+'[1]sheet2'!K449</f>
        <v>0</v>
      </c>
      <c r="L173" s="299">
        <f>L174+'[1]sheet2'!L430+'[1]sheet2'!L439+'[1]sheet2'!L449</f>
        <v>0</v>
      </c>
      <c r="M173" s="299">
        <f>M174+'[1]sheet2'!M430+'[1]sheet2'!M439+'[1]sheet2'!M449</f>
        <v>0</v>
      </c>
      <c r="N173" s="299">
        <f>N174+'[1]sheet2'!N430+'[1]sheet2'!N439+'[1]sheet2'!N449</f>
        <v>0</v>
      </c>
      <c r="O173" s="299">
        <f>O174+'[1]sheet2'!O430+'[1]sheet2'!O439+'[1]sheet2'!O449</f>
        <v>0</v>
      </c>
      <c r="P173" s="299">
        <f>P174+'[1]sheet2'!P430+'[1]sheet2'!P439+'[1]sheet2'!P449</f>
        <v>0</v>
      </c>
      <c r="Q173" s="299">
        <f>Q174+'[1]sheet2'!Q430+'[1]sheet2'!Q439+'[1]sheet2'!Q449</f>
        <v>0</v>
      </c>
      <c r="R173" s="299">
        <f>R174+'[1]sheet2'!R430+'[1]sheet2'!R439+'[1]sheet2'!R449</f>
        <v>10.800000000000004</v>
      </c>
      <c r="S173" s="299">
        <f>S174+'[1]sheet2'!S430+'[1]sheet2'!S439+'[1]sheet2'!S449</f>
        <v>0</v>
      </c>
      <c r="T173" s="299">
        <f>T174+'[1]sheet2'!T430+'[1]sheet2'!T439+'[1]sheet2'!T449</f>
        <v>0</v>
      </c>
      <c r="U173" s="299">
        <f>U174+'[1]sheet2'!U430+'[1]sheet2'!U439+'[1]sheet2'!U449</f>
        <v>0</v>
      </c>
      <c r="V173" s="299"/>
      <c r="W173" s="299">
        <f>W174+'[1]sheet2'!W430+'[1]sheet2'!W439+'[1]sheet2'!W449</f>
        <v>0</v>
      </c>
      <c r="X173" s="299">
        <f>X174+'[1]sheet2'!X430+'[1]sheet2'!X439+'[1]sheet2'!X449</f>
        <v>0</v>
      </c>
      <c r="Y173" s="300">
        <f>Y174+'[1]sheet2'!Y430+'[1]sheet2'!Y439+'[1]sheet2'!Y449</f>
        <v>193104000</v>
      </c>
      <c r="Z173" s="436"/>
      <c r="AA173" s="437"/>
      <c r="AB173" s="436"/>
      <c r="AC173" s="436"/>
      <c r="AD173" s="436"/>
      <c r="AE173" s="436"/>
      <c r="AF173" s="436"/>
      <c r="AG173" s="436"/>
      <c r="AH173" s="436"/>
      <c r="AI173" s="436"/>
      <c r="AJ173" s="436"/>
      <c r="AK173" s="436"/>
      <c r="AL173" s="436"/>
      <c r="AM173" s="436"/>
      <c r="AN173" s="436"/>
      <c r="AO173" s="436"/>
      <c r="AP173" s="436"/>
      <c r="AQ173" s="436"/>
      <c r="AR173" s="436"/>
      <c r="AS173" s="436"/>
      <c r="AT173" s="435"/>
      <c r="AU173" s="18"/>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row>
    <row r="174" spans="1:75" ht="15.75">
      <c r="A174" s="425">
        <v>1</v>
      </c>
      <c r="B174" s="426" t="s">
        <v>55</v>
      </c>
      <c r="C174" s="449"/>
      <c r="D174" s="449"/>
      <c r="E174" s="299">
        <f aca="true" t="shared" si="110" ref="E174:Y174">SUM(E175:E201)</f>
        <v>10.800000000000004</v>
      </c>
      <c r="F174" s="299">
        <f t="shared" si="110"/>
        <v>0</v>
      </c>
      <c r="G174" s="299">
        <f t="shared" si="110"/>
        <v>10.800000000000004</v>
      </c>
      <c r="H174" s="299">
        <f t="shared" si="110"/>
        <v>0</v>
      </c>
      <c r="I174" s="299">
        <f t="shared" si="110"/>
        <v>0</v>
      </c>
      <c r="J174" s="299">
        <f t="shared" si="110"/>
        <v>0</v>
      </c>
      <c r="K174" s="299">
        <f t="shared" si="110"/>
        <v>0</v>
      </c>
      <c r="L174" s="299">
        <f t="shared" si="110"/>
        <v>0</v>
      </c>
      <c r="M174" s="299">
        <f t="shared" si="110"/>
        <v>0</v>
      </c>
      <c r="N174" s="299">
        <f t="shared" si="110"/>
        <v>0</v>
      </c>
      <c r="O174" s="299">
        <f t="shared" si="110"/>
        <v>0</v>
      </c>
      <c r="P174" s="299">
        <f t="shared" si="110"/>
        <v>0</v>
      </c>
      <c r="Q174" s="299">
        <f t="shared" si="110"/>
        <v>0</v>
      </c>
      <c r="R174" s="299">
        <f t="shared" si="110"/>
        <v>10.800000000000004</v>
      </c>
      <c r="S174" s="299">
        <f t="shared" si="110"/>
        <v>0</v>
      </c>
      <c r="T174" s="299">
        <f t="shared" si="110"/>
        <v>0</v>
      </c>
      <c r="U174" s="299">
        <f t="shared" si="110"/>
        <v>0</v>
      </c>
      <c r="V174" s="299">
        <f t="shared" si="110"/>
        <v>0</v>
      </c>
      <c r="W174" s="299">
        <f t="shared" si="110"/>
        <v>0</v>
      </c>
      <c r="X174" s="299">
        <f t="shared" si="110"/>
        <v>0</v>
      </c>
      <c r="Y174" s="299">
        <f t="shared" si="110"/>
        <v>193104000</v>
      </c>
      <c r="Z174" s="436"/>
      <c r="AA174" s="437"/>
      <c r="AB174" s="436"/>
      <c r="AC174" s="436"/>
      <c r="AD174" s="436"/>
      <c r="AE174" s="436"/>
      <c r="AF174" s="436"/>
      <c r="AG174" s="436"/>
      <c r="AH174" s="436"/>
      <c r="AI174" s="436"/>
      <c r="AJ174" s="436"/>
      <c r="AK174" s="436"/>
      <c r="AL174" s="436"/>
      <c r="AM174" s="436"/>
      <c r="AN174" s="436"/>
      <c r="AO174" s="436"/>
      <c r="AP174" s="436"/>
      <c r="AQ174" s="436"/>
      <c r="AR174" s="436"/>
      <c r="AS174" s="436"/>
      <c r="AT174" s="435"/>
      <c r="AU174" s="18"/>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row>
    <row r="175" spans="1:75" ht="15.75">
      <c r="A175" s="438">
        <v>1</v>
      </c>
      <c r="B175" s="16" t="s">
        <v>54</v>
      </c>
      <c r="C175" s="451"/>
      <c r="D175" s="451"/>
      <c r="E175" s="377">
        <f aca="true" t="shared" si="111" ref="E175:E201">F175+G175+X175</f>
        <v>0.4</v>
      </c>
      <c r="F175" s="439"/>
      <c r="G175" s="377">
        <f aca="true" t="shared" si="112" ref="G175:G201">H175+I175+J175+K175+L175+M175+N175+O175+P175+Q175+R175+S175+T175+U175+W175</f>
        <v>0.4</v>
      </c>
      <c r="H175" s="440"/>
      <c r="I175" s="440"/>
      <c r="J175" s="440"/>
      <c r="K175" s="440"/>
      <c r="L175" s="440"/>
      <c r="M175" s="440"/>
      <c r="N175" s="440"/>
      <c r="O175" s="440"/>
      <c r="P175" s="440"/>
      <c r="Q175" s="440"/>
      <c r="R175" s="377">
        <v>0.4</v>
      </c>
      <c r="S175" s="439"/>
      <c r="T175" s="440"/>
      <c r="U175" s="440"/>
      <c r="V175" s="440"/>
      <c r="W175" s="440"/>
      <c r="X175" s="440"/>
      <c r="Y175" s="382">
        <f aca="true" t="shared" si="113" ref="Y175:Y202">E175*1490000*12</f>
        <v>7152000</v>
      </c>
      <c r="Z175" s="436"/>
      <c r="AA175" s="437"/>
      <c r="AB175" s="436"/>
      <c r="AC175" s="436"/>
      <c r="AD175" s="436"/>
      <c r="AE175" s="436"/>
      <c r="AF175" s="436"/>
      <c r="AG175" s="436"/>
      <c r="AH175" s="436"/>
      <c r="AI175" s="436"/>
      <c r="AJ175" s="436"/>
      <c r="AK175" s="436"/>
      <c r="AL175" s="436"/>
      <c r="AM175" s="436"/>
      <c r="AN175" s="436"/>
      <c r="AO175" s="436"/>
      <c r="AP175" s="436"/>
      <c r="AQ175" s="436"/>
      <c r="AR175" s="436"/>
      <c r="AS175" s="436"/>
      <c r="AT175" s="435"/>
      <c r="AU175" s="24"/>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row>
    <row r="176" spans="1:75" ht="15.75">
      <c r="A176" s="438">
        <v>2</v>
      </c>
      <c r="B176" s="16" t="s">
        <v>53</v>
      </c>
      <c r="C176" s="451"/>
      <c r="D176" s="451"/>
      <c r="E176" s="377">
        <f t="shared" si="111"/>
        <v>0.4</v>
      </c>
      <c r="F176" s="439"/>
      <c r="G176" s="377">
        <f t="shared" si="112"/>
        <v>0.4</v>
      </c>
      <c r="H176" s="440"/>
      <c r="I176" s="440"/>
      <c r="J176" s="440"/>
      <c r="K176" s="440"/>
      <c r="L176" s="440"/>
      <c r="M176" s="440"/>
      <c r="N176" s="440"/>
      <c r="O176" s="440"/>
      <c r="P176" s="440"/>
      <c r="Q176" s="440"/>
      <c r="R176" s="377">
        <v>0.4</v>
      </c>
      <c r="S176" s="439"/>
      <c r="T176" s="440"/>
      <c r="U176" s="440"/>
      <c r="V176" s="440"/>
      <c r="W176" s="440"/>
      <c r="X176" s="440"/>
      <c r="Y176" s="382">
        <f t="shared" si="113"/>
        <v>7152000</v>
      </c>
      <c r="Z176" s="436"/>
      <c r="AA176" s="437"/>
      <c r="AB176" s="436"/>
      <c r="AC176" s="436"/>
      <c r="AD176" s="436"/>
      <c r="AE176" s="436"/>
      <c r="AF176" s="436"/>
      <c r="AG176" s="436"/>
      <c r="AH176" s="436"/>
      <c r="AI176" s="436"/>
      <c r="AJ176" s="436"/>
      <c r="AK176" s="436"/>
      <c r="AL176" s="436"/>
      <c r="AM176" s="436"/>
      <c r="AN176" s="436"/>
      <c r="AO176" s="436"/>
      <c r="AP176" s="436"/>
      <c r="AQ176" s="436"/>
      <c r="AR176" s="436"/>
      <c r="AS176" s="436"/>
      <c r="AT176" s="435"/>
      <c r="AU176" s="24"/>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row>
    <row r="177" spans="1:75" ht="15.75">
      <c r="A177" s="438">
        <v>3</v>
      </c>
      <c r="B177" s="16" t="s">
        <v>52</v>
      </c>
      <c r="C177" s="451"/>
      <c r="D177" s="451"/>
      <c r="E177" s="377">
        <f t="shared" si="111"/>
        <v>0.4</v>
      </c>
      <c r="F177" s="439"/>
      <c r="G177" s="377">
        <f t="shared" si="112"/>
        <v>0.4</v>
      </c>
      <c r="H177" s="440"/>
      <c r="I177" s="440"/>
      <c r="J177" s="440"/>
      <c r="K177" s="440"/>
      <c r="L177" s="440"/>
      <c r="M177" s="440"/>
      <c r="N177" s="440"/>
      <c r="O177" s="440"/>
      <c r="P177" s="440"/>
      <c r="Q177" s="440"/>
      <c r="R177" s="377">
        <v>0.4</v>
      </c>
      <c r="S177" s="439"/>
      <c r="T177" s="440"/>
      <c r="U177" s="440"/>
      <c r="V177" s="440"/>
      <c r="W177" s="440"/>
      <c r="X177" s="440"/>
      <c r="Y177" s="382">
        <f t="shared" si="113"/>
        <v>7152000</v>
      </c>
      <c r="Z177" s="436"/>
      <c r="AA177" s="437"/>
      <c r="AB177" s="436"/>
      <c r="AC177" s="436"/>
      <c r="AD177" s="436"/>
      <c r="AE177" s="436"/>
      <c r="AF177" s="436"/>
      <c r="AG177" s="436"/>
      <c r="AH177" s="436"/>
      <c r="AI177" s="436"/>
      <c r="AJ177" s="436"/>
      <c r="AK177" s="436"/>
      <c r="AL177" s="436"/>
      <c r="AM177" s="436"/>
      <c r="AN177" s="436"/>
      <c r="AO177" s="436"/>
      <c r="AP177" s="436"/>
      <c r="AQ177" s="436"/>
      <c r="AR177" s="436"/>
      <c r="AS177" s="436"/>
      <c r="AT177" s="435"/>
      <c r="AU177" s="24"/>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row>
    <row r="178" spans="1:75" ht="15.75">
      <c r="A178" s="438">
        <v>4</v>
      </c>
      <c r="B178" s="16" t="s">
        <v>51</v>
      </c>
      <c r="C178" s="451"/>
      <c r="D178" s="451"/>
      <c r="E178" s="377">
        <f t="shared" si="111"/>
        <v>0.4</v>
      </c>
      <c r="F178" s="439"/>
      <c r="G178" s="377">
        <f t="shared" si="112"/>
        <v>0.4</v>
      </c>
      <c r="H178" s="440"/>
      <c r="I178" s="440"/>
      <c r="J178" s="440"/>
      <c r="K178" s="440"/>
      <c r="L178" s="440"/>
      <c r="M178" s="440"/>
      <c r="N178" s="440"/>
      <c r="O178" s="440"/>
      <c r="P178" s="440"/>
      <c r="Q178" s="440"/>
      <c r="R178" s="377">
        <v>0.4</v>
      </c>
      <c r="S178" s="439"/>
      <c r="T178" s="440"/>
      <c r="U178" s="440"/>
      <c r="V178" s="440"/>
      <c r="W178" s="440"/>
      <c r="X178" s="440"/>
      <c r="Y178" s="382">
        <f t="shared" si="113"/>
        <v>7152000</v>
      </c>
      <c r="Z178" s="436"/>
      <c r="AA178" s="437"/>
      <c r="AB178" s="436"/>
      <c r="AC178" s="436"/>
      <c r="AD178" s="436"/>
      <c r="AE178" s="436"/>
      <c r="AF178" s="436"/>
      <c r="AG178" s="436"/>
      <c r="AH178" s="436"/>
      <c r="AI178" s="436"/>
      <c r="AJ178" s="436"/>
      <c r="AK178" s="436"/>
      <c r="AL178" s="436"/>
      <c r="AM178" s="436"/>
      <c r="AN178" s="436"/>
      <c r="AO178" s="436"/>
      <c r="AP178" s="436"/>
      <c r="AQ178" s="436"/>
      <c r="AR178" s="436"/>
      <c r="AS178" s="436"/>
      <c r="AT178" s="435"/>
      <c r="AU178" s="24"/>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row>
    <row r="179" spans="1:75" ht="15.75">
      <c r="A179" s="438">
        <v>5</v>
      </c>
      <c r="B179" s="16" t="s">
        <v>50</v>
      </c>
      <c r="C179" s="451"/>
      <c r="D179" s="451"/>
      <c r="E179" s="377">
        <f t="shared" si="111"/>
        <v>0.4</v>
      </c>
      <c r="F179" s="439"/>
      <c r="G179" s="377">
        <f t="shared" si="112"/>
        <v>0.4</v>
      </c>
      <c r="H179" s="440"/>
      <c r="I179" s="440"/>
      <c r="J179" s="440"/>
      <c r="K179" s="440"/>
      <c r="L179" s="440"/>
      <c r="M179" s="440"/>
      <c r="N179" s="440"/>
      <c r="O179" s="440"/>
      <c r="P179" s="440"/>
      <c r="Q179" s="440"/>
      <c r="R179" s="377">
        <v>0.4</v>
      </c>
      <c r="S179" s="439"/>
      <c r="T179" s="440"/>
      <c r="U179" s="440"/>
      <c r="V179" s="440"/>
      <c r="W179" s="440"/>
      <c r="X179" s="440"/>
      <c r="Y179" s="382">
        <f t="shared" si="113"/>
        <v>7152000</v>
      </c>
      <c r="Z179" s="436"/>
      <c r="AA179" s="437"/>
      <c r="AB179" s="436"/>
      <c r="AC179" s="436"/>
      <c r="AD179" s="436"/>
      <c r="AE179" s="436"/>
      <c r="AF179" s="436"/>
      <c r="AG179" s="436"/>
      <c r="AH179" s="436"/>
      <c r="AI179" s="436"/>
      <c r="AJ179" s="436"/>
      <c r="AK179" s="436"/>
      <c r="AL179" s="436"/>
      <c r="AM179" s="436"/>
      <c r="AN179" s="436"/>
      <c r="AO179" s="436"/>
      <c r="AP179" s="436"/>
      <c r="AQ179" s="436"/>
      <c r="AR179" s="436"/>
      <c r="AS179" s="436"/>
      <c r="AT179" s="435"/>
      <c r="AU179" s="24"/>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row>
    <row r="180" spans="1:75" ht="15.75">
      <c r="A180" s="438">
        <v>6</v>
      </c>
      <c r="B180" s="16" t="s">
        <v>49</v>
      </c>
      <c r="C180" s="451"/>
      <c r="D180" s="451"/>
      <c r="E180" s="377">
        <f t="shared" si="111"/>
        <v>0.4</v>
      </c>
      <c r="F180" s="439"/>
      <c r="G180" s="377">
        <f t="shared" si="112"/>
        <v>0.4</v>
      </c>
      <c r="H180" s="440"/>
      <c r="I180" s="440"/>
      <c r="J180" s="440"/>
      <c r="K180" s="440"/>
      <c r="L180" s="440"/>
      <c r="M180" s="440"/>
      <c r="N180" s="440"/>
      <c r="O180" s="440"/>
      <c r="P180" s="440"/>
      <c r="Q180" s="440"/>
      <c r="R180" s="377">
        <v>0.4</v>
      </c>
      <c r="S180" s="439"/>
      <c r="T180" s="440"/>
      <c r="U180" s="440"/>
      <c r="V180" s="440"/>
      <c r="W180" s="440"/>
      <c r="X180" s="440"/>
      <c r="Y180" s="382">
        <f t="shared" si="113"/>
        <v>7152000</v>
      </c>
      <c r="Z180" s="436"/>
      <c r="AA180" s="437"/>
      <c r="AB180" s="436"/>
      <c r="AC180" s="436"/>
      <c r="AD180" s="436"/>
      <c r="AE180" s="436"/>
      <c r="AF180" s="436"/>
      <c r="AG180" s="436"/>
      <c r="AH180" s="436"/>
      <c r="AI180" s="436"/>
      <c r="AJ180" s="436"/>
      <c r="AK180" s="436"/>
      <c r="AL180" s="436"/>
      <c r="AM180" s="436"/>
      <c r="AN180" s="436"/>
      <c r="AO180" s="436"/>
      <c r="AP180" s="436"/>
      <c r="AQ180" s="436"/>
      <c r="AR180" s="436"/>
      <c r="AS180" s="436"/>
      <c r="AT180" s="435"/>
      <c r="AU180" s="24"/>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row>
    <row r="181" spans="1:75" ht="31.5">
      <c r="A181" s="438">
        <v>7</v>
      </c>
      <c r="B181" s="16" t="s">
        <v>48</v>
      </c>
      <c r="C181" s="451"/>
      <c r="D181" s="451"/>
      <c r="E181" s="377">
        <f t="shared" si="111"/>
        <v>0.4</v>
      </c>
      <c r="F181" s="439"/>
      <c r="G181" s="377">
        <f t="shared" si="112"/>
        <v>0.4</v>
      </c>
      <c r="H181" s="440"/>
      <c r="I181" s="440"/>
      <c r="J181" s="440"/>
      <c r="K181" s="440"/>
      <c r="L181" s="440"/>
      <c r="M181" s="440"/>
      <c r="N181" s="440"/>
      <c r="O181" s="440"/>
      <c r="P181" s="440"/>
      <c r="Q181" s="440"/>
      <c r="R181" s="377">
        <v>0.4</v>
      </c>
      <c r="S181" s="439"/>
      <c r="T181" s="440"/>
      <c r="U181" s="440"/>
      <c r="V181" s="440"/>
      <c r="W181" s="440"/>
      <c r="X181" s="440"/>
      <c r="Y181" s="382">
        <f t="shared" si="113"/>
        <v>7152000</v>
      </c>
      <c r="Z181" s="436"/>
      <c r="AA181" s="437"/>
      <c r="AB181" s="436"/>
      <c r="AC181" s="436"/>
      <c r="AD181" s="436"/>
      <c r="AE181" s="436"/>
      <c r="AF181" s="436"/>
      <c r="AG181" s="436"/>
      <c r="AH181" s="436"/>
      <c r="AI181" s="436"/>
      <c r="AJ181" s="436"/>
      <c r="AK181" s="436"/>
      <c r="AL181" s="436"/>
      <c r="AM181" s="436"/>
      <c r="AN181" s="436"/>
      <c r="AO181" s="436"/>
      <c r="AP181" s="436"/>
      <c r="AQ181" s="436"/>
      <c r="AR181" s="436"/>
      <c r="AS181" s="436"/>
      <c r="AT181" s="435"/>
      <c r="AU181" s="24"/>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row>
    <row r="182" spans="1:75" ht="15.75">
      <c r="A182" s="438">
        <v>8</v>
      </c>
      <c r="B182" s="16" t="s">
        <v>47</v>
      </c>
      <c r="C182" s="451"/>
      <c r="D182" s="451"/>
      <c r="E182" s="377">
        <f t="shared" si="111"/>
        <v>0.4</v>
      </c>
      <c r="F182" s="439"/>
      <c r="G182" s="377">
        <f t="shared" si="112"/>
        <v>0.4</v>
      </c>
      <c r="H182" s="440"/>
      <c r="I182" s="440"/>
      <c r="J182" s="440"/>
      <c r="K182" s="440"/>
      <c r="L182" s="440"/>
      <c r="M182" s="440"/>
      <c r="N182" s="440"/>
      <c r="O182" s="440"/>
      <c r="P182" s="440"/>
      <c r="Q182" s="440"/>
      <c r="R182" s="377">
        <v>0.4</v>
      </c>
      <c r="S182" s="439"/>
      <c r="T182" s="440"/>
      <c r="U182" s="440"/>
      <c r="V182" s="440"/>
      <c r="W182" s="440"/>
      <c r="X182" s="440"/>
      <c r="Y182" s="382">
        <f t="shared" si="113"/>
        <v>7152000</v>
      </c>
      <c r="Z182" s="436"/>
      <c r="AA182" s="437"/>
      <c r="AB182" s="436"/>
      <c r="AC182" s="436"/>
      <c r="AD182" s="436"/>
      <c r="AE182" s="436"/>
      <c r="AF182" s="436"/>
      <c r="AG182" s="436"/>
      <c r="AH182" s="436"/>
      <c r="AI182" s="436"/>
      <c r="AJ182" s="436"/>
      <c r="AK182" s="436"/>
      <c r="AL182" s="436"/>
      <c r="AM182" s="436"/>
      <c r="AN182" s="436"/>
      <c r="AO182" s="436"/>
      <c r="AP182" s="436"/>
      <c r="AQ182" s="436"/>
      <c r="AR182" s="436"/>
      <c r="AS182" s="436"/>
      <c r="AT182" s="435"/>
      <c r="AU182" s="24"/>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row>
    <row r="183" spans="1:75" ht="15.75">
      <c r="A183" s="438">
        <v>9</v>
      </c>
      <c r="B183" s="16" t="s">
        <v>46</v>
      </c>
      <c r="C183" s="451"/>
      <c r="D183" s="451"/>
      <c r="E183" s="377">
        <f t="shared" si="111"/>
        <v>0.4</v>
      </c>
      <c r="F183" s="439"/>
      <c r="G183" s="377">
        <f t="shared" si="112"/>
        <v>0.4</v>
      </c>
      <c r="H183" s="440"/>
      <c r="I183" s="440"/>
      <c r="J183" s="440"/>
      <c r="K183" s="440"/>
      <c r="L183" s="440"/>
      <c r="M183" s="440"/>
      <c r="N183" s="440"/>
      <c r="O183" s="440"/>
      <c r="P183" s="440"/>
      <c r="Q183" s="440"/>
      <c r="R183" s="377">
        <v>0.4</v>
      </c>
      <c r="S183" s="439"/>
      <c r="T183" s="440"/>
      <c r="U183" s="440"/>
      <c r="V183" s="440"/>
      <c r="W183" s="440"/>
      <c r="X183" s="440"/>
      <c r="Y183" s="382">
        <f t="shared" si="113"/>
        <v>7152000</v>
      </c>
      <c r="Z183" s="436"/>
      <c r="AA183" s="437"/>
      <c r="AB183" s="436"/>
      <c r="AC183" s="436"/>
      <c r="AD183" s="436"/>
      <c r="AE183" s="436"/>
      <c r="AF183" s="436"/>
      <c r="AG183" s="436"/>
      <c r="AH183" s="436"/>
      <c r="AI183" s="436"/>
      <c r="AJ183" s="436"/>
      <c r="AK183" s="436"/>
      <c r="AL183" s="436"/>
      <c r="AM183" s="436"/>
      <c r="AN183" s="436"/>
      <c r="AO183" s="436"/>
      <c r="AP183" s="436"/>
      <c r="AQ183" s="436"/>
      <c r="AR183" s="436"/>
      <c r="AS183" s="436"/>
      <c r="AT183" s="435"/>
      <c r="AU183" s="24"/>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row>
    <row r="184" spans="1:75" ht="15.75">
      <c r="A184" s="438">
        <v>10</v>
      </c>
      <c r="B184" s="16" t="s">
        <v>45</v>
      </c>
      <c r="C184" s="451"/>
      <c r="D184" s="451"/>
      <c r="E184" s="377">
        <f t="shared" si="111"/>
        <v>0.4</v>
      </c>
      <c r="F184" s="439"/>
      <c r="G184" s="377">
        <f t="shared" si="112"/>
        <v>0.4</v>
      </c>
      <c r="H184" s="440"/>
      <c r="I184" s="440"/>
      <c r="J184" s="440"/>
      <c r="K184" s="440"/>
      <c r="L184" s="440"/>
      <c r="M184" s="440"/>
      <c r="N184" s="440"/>
      <c r="O184" s="440"/>
      <c r="P184" s="440"/>
      <c r="Q184" s="440"/>
      <c r="R184" s="377">
        <v>0.4</v>
      </c>
      <c r="S184" s="439"/>
      <c r="T184" s="440"/>
      <c r="U184" s="440"/>
      <c r="V184" s="440"/>
      <c r="W184" s="440"/>
      <c r="X184" s="440"/>
      <c r="Y184" s="382">
        <f t="shared" si="113"/>
        <v>7152000</v>
      </c>
      <c r="Z184" s="436"/>
      <c r="AA184" s="437"/>
      <c r="AB184" s="436"/>
      <c r="AC184" s="436"/>
      <c r="AD184" s="436"/>
      <c r="AE184" s="436"/>
      <c r="AF184" s="436"/>
      <c r="AG184" s="436"/>
      <c r="AH184" s="436"/>
      <c r="AI184" s="436"/>
      <c r="AJ184" s="436"/>
      <c r="AK184" s="436"/>
      <c r="AL184" s="436"/>
      <c r="AM184" s="436"/>
      <c r="AN184" s="436"/>
      <c r="AO184" s="436"/>
      <c r="AP184" s="436"/>
      <c r="AQ184" s="436"/>
      <c r="AR184" s="436"/>
      <c r="AS184" s="436"/>
      <c r="AT184" s="435"/>
      <c r="AU184" s="24"/>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row>
    <row r="185" spans="1:75" ht="15.75">
      <c r="A185" s="438">
        <v>11</v>
      </c>
      <c r="B185" s="16" t="s">
        <v>44</v>
      </c>
      <c r="C185" s="451"/>
      <c r="D185" s="451"/>
      <c r="E185" s="377">
        <f t="shared" si="111"/>
        <v>0.4</v>
      </c>
      <c r="F185" s="439"/>
      <c r="G185" s="377">
        <f t="shared" si="112"/>
        <v>0.4</v>
      </c>
      <c r="H185" s="440"/>
      <c r="I185" s="440"/>
      <c r="J185" s="440"/>
      <c r="K185" s="440"/>
      <c r="L185" s="440"/>
      <c r="M185" s="440"/>
      <c r="N185" s="440"/>
      <c r="O185" s="440"/>
      <c r="P185" s="440"/>
      <c r="Q185" s="440"/>
      <c r="R185" s="377">
        <v>0.4</v>
      </c>
      <c r="S185" s="439"/>
      <c r="T185" s="440"/>
      <c r="U185" s="440"/>
      <c r="V185" s="440"/>
      <c r="W185" s="440"/>
      <c r="X185" s="440"/>
      <c r="Y185" s="382">
        <f t="shared" si="113"/>
        <v>7152000</v>
      </c>
      <c r="Z185" s="436"/>
      <c r="AA185" s="437"/>
      <c r="AB185" s="436"/>
      <c r="AC185" s="436"/>
      <c r="AD185" s="436"/>
      <c r="AE185" s="436"/>
      <c r="AF185" s="436"/>
      <c r="AG185" s="436"/>
      <c r="AH185" s="436"/>
      <c r="AI185" s="436"/>
      <c r="AJ185" s="436"/>
      <c r="AK185" s="436"/>
      <c r="AL185" s="436"/>
      <c r="AM185" s="436"/>
      <c r="AN185" s="436"/>
      <c r="AO185" s="436"/>
      <c r="AP185" s="436"/>
      <c r="AQ185" s="436"/>
      <c r="AR185" s="436"/>
      <c r="AS185" s="436"/>
      <c r="AT185" s="435"/>
      <c r="AU185" s="24"/>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row>
    <row r="186" spans="1:75" ht="15.75">
      <c r="A186" s="438">
        <v>12</v>
      </c>
      <c r="B186" s="16" t="s">
        <v>43</v>
      </c>
      <c r="C186" s="451"/>
      <c r="D186" s="451"/>
      <c r="E186" s="377">
        <f t="shared" si="111"/>
        <v>0.4</v>
      </c>
      <c r="F186" s="439"/>
      <c r="G186" s="377">
        <f t="shared" si="112"/>
        <v>0.4</v>
      </c>
      <c r="H186" s="440"/>
      <c r="I186" s="440"/>
      <c r="J186" s="440"/>
      <c r="K186" s="440"/>
      <c r="L186" s="440"/>
      <c r="M186" s="440"/>
      <c r="N186" s="440"/>
      <c r="O186" s="440"/>
      <c r="P186" s="440"/>
      <c r="Q186" s="440"/>
      <c r="R186" s="377">
        <v>0.4</v>
      </c>
      <c r="S186" s="439"/>
      <c r="T186" s="440"/>
      <c r="U186" s="440"/>
      <c r="V186" s="440"/>
      <c r="W186" s="440"/>
      <c r="X186" s="440"/>
      <c r="Y186" s="382">
        <f t="shared" si="113"/>
        <v>7152000</v>
      </c>
      <c r="Z186" s="436"/>
      <c r="AA186" s="437"/>
      <c r="AB186" s="436"/>
      <c r="AC186" s="436"/>
      <c r="AD186" s="436"/>
      <c r="AE186" s="436"/>
      <c r="AF186" s="436"/>
      <c r="AG186" s="436"/>
      <c r="AH186" s="436"/>
      <c r="AI186" s="436"/>
      <c r="AJ186" s="436"/>
      <c r="AK186" s="436"/>
      <c r="AL186" s="436"/>
      <c r="AM186" s="436"/>
      <c r="AN186" s="436"/>
      <c r="AO186" s="436"/>
      <c r="AP186" s="436"/>
      <c r="AQ186" s="436"/>
      <c r="AR186" s="436"/>
      <c r="AS186" s="436"/>
      <c r="AT186" s="435"/>
      <c r="AU186" s="24"/>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row>
    <row r="187" spans="1:75" ht="15.75">
      <c r="A187" s="438">
        <v>13</v>
      </c>
      <c r="B187" s="16" t="s">
        <v>42</v>
      </c>
      <c r="C187" s="451"/>
      <c r="D187" s="451"/>
      <c r="E187" s="377">
        <f t="shared" si="111"/>
        <v>0.4</v>
      </c>
      <c r="F187" s="439"/>
      <c r="G187" s="377">
        <f t="shared" si="112"/>
        <v>0.4</v>
      </c>
      <c r="H187" s="440"/>
      <c r="I187" s="440"/>
      <c r="J187" s="440"/>
      <c r="K187" s="440"/>
      <c r="L187" s="440"/>
      <c r="M187" s="440"/>
      <c r="N187" s="440"/>
      <c r="O187" s="440"/>
      <c r="P187" s="440"/>
      <c r="Q187" s="440"/>
      <c r="R187" s="377">
        <v>0.4</v>
      </c>
      <c r="S187" s="439"/>
      <c r="T187" s="440"/>
      <c r="U187" s="440"/>
      <c r="V187" s="440"/>
      <c r="W187" s="440"/>
      <c r="X187" s="440"/>
      <c r="Y187" s="382">
        <f t="shared" si="113"/>
        <v>7152000</v>
      </c>
      <c r="Z187" s="436"/>
      <c r="AA187" s="437"/>
      <c r="AB187" s="436"/>
      <c r="AC187" s="436"/>
      <c r="AD187" s="436"/>
      <c r="AE187" s="436"/>
      <c r="AF187" s="436"/>
      <c r="AG187" s="436"/>
      <c r="AH187" s="436"/>
      <c r="AI187" s="436"/>
      <c r="AJ187" s="436"/>
      <c r="AK187" s="436"/>
      <c r="AL187" s="436"/>
      <c r="AM187" s="436"/>
      <c r="AN187" s="436"/>
      <c r="AO187" s="436"/>
      <c r="AP187" s="436"/>
      <c r="AQ187" s="436"/>
      <c r="AR187" s="436"/>
      <c r="AS187" s="436"/>
      <c r="AT187" s="435"/>
      <c r="AU187" s="24"/>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row>
    <row r="188" spans="1:75" ht="15.75">
      <c r="A188" s="438">
        <v>14</v>
      </c>
      <c r="B188" s="16" t="s">
        <v>41</v>
      </c>
      <c r="C188" s="451"/>
      <c r="D188" s="451"/>
      <c r="E188" s="377">
        <f t="shared" si="111"/>
        <v>0.4</v>
      </c>
      <c r="F188" s="439"/>
      <c r="G188" s="377">
        <f t="shared" si="112"/>
        <v>0.4</v>
      </c>
      <c r="H188" s="440"/>
      <c r="I188" s="440"/>
      <c r="J188" s="440"/>
      <c r="K188" s="440"/>
      <c r="L188" s="440"/>
      <c r="M188" s="440"/>
      <c r="N188" s="440"/>
      <c r="O188" s="440"/>
      <c r="P188" s="440"/>
      <c r="Q188" s="440"/>
      <c r="R188" s="377">
        <v>0.4</v>
      </c>
      <c r="S188" s="439"/>
      <c r="T188" s="440"/>
      <c r="U188" s="440"/>
      <c r="V188" s="440"/>
      <c r="W188" s="440"/>
      <c r="X188" s="440"/>
      <c r="Y188" s="382">
        <f t="shared" si="113"/>
        <v>7152000</v>
      </c>
      <c r="Z188" s="436"/>
      <c r="AA188" s="437"/>
      <c r="AB188" s="436"/>
      <c r="AC188" s="436"/>
      <c r="AD188" s="436"/>
      <c r="AE188" s="436"/>
      <c r="AF188" s="436"/>
      <c r="AG188" s="436"/>
      <c r="AH188" s="436"/>
      <c r="AI188" s="436"/>
      <c r="AJ188" s="436"/>
      <c r="AK188" s="436"/>
      <c r="AL188" s="436"/>
      <c r="AM188" s="436"/>
      <c r="AN188" s="436"/>
      <c r="AO188" s="436"/>
      <c r="AP188" s="436"/>
      <c r="AQ188" s="436"/>
      <c r="AR188" s="436"/>
      <c r="AS188" s="436"/>
      <c r="AT188" s="435"/>
      <c r="AU188" s="24"/>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row>
    <row r="189" spans="1:75" ht="31.5">
      <c r="A189" s="438">
        <v>15</v>
      </c>
      <c r="B189" s="16" t="s">
        <v>40</v>
      </c>
      <c r="C189" s="451"/>
      <c r="D189" s="451"/>
      <c r="E189" s="377">
        <f t="shared" si="111"/>
        <v>0.4</v>
      </c>
      <c r="F189" s="439"/>
      <c r="G189" s="377">
        <f t="shared" si="112"/>
        <v>0.4</v>
      </c>
      <c r="H189" s="440"/>
      <c r="I189" s="440"/>
      <c r="J189" s="440"/>
      <c r="K189" s="440"/>
      <c r="L189" s="440"/>
      <c r="M189" s="440"/>
      <c r="N189" s="440"/>
      <c r="O189" s="440"/>
      <c r="P189" s="440"/>
      <c r="Q189" s="440"/>
      <c r="R189" s="377">
        <v>0.4</v>
      </c>
      <c r="S189" s="439"/>
      <c r="T189" s="440"/>
      <c r="U189" s="440"/>
      <c r="V189" s="440"/>
      <c r="W189" s="440"/>
      <c r="X189" s="440"/>
      <c r="Y189" s="382">
        <f t="shared" si="113"/>
        <v>7152000</v>
      </c>
      <c r="Z189" s="436"/>
      <c r="AA189" s="437"/>
      <c r="AB189" s="436"/>
      <c r="AC189" s="436"/>
      <c r="AD189" s="436"/>
      <c r="AE189" s="436"/>
      <c r="AF189" s="436"/>
      <c r="AG189" s="436"/>
      <c r="AH189" s="436"/>
      <c r="AI189" s="436"/>
      <c r="AJ189" s="436"/>
      <c r="AK189" s="436"/>
      <c r="AL189" s="436"/>
      <c r="AM189" s="436"/>
      <c r="AN189" s="436"/>
      <c r="AO189" s="436"/>
      <c r="AP189" s="436"/>
      <c r="AQ189" s="436"/>
      <c r="AR189" s="436"/>
      <c r="AS189" s="436"/>
      <c r="AT189" s="435"/>
      <c r="AU189" s="24"/>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row>
    <row r="190" spans="1:75" ht="15.75">
      <c r="A190" s="438">
        <v>16</v>
      </c>
      <c r="B190" s="16" t="s">
        <v>39</v>
      </c>
      <c r="C190" s="451"/>
      <c r="D190" s="451"/>
      <c r="E190" s="377">
        <f t="shared" si="111"/>
        <v>0.4</v>
      </c>
      <c r="F190" s="439"/>
      <c r="G190" s="377">
        <f t="shared" si="112"/>
        <v>0.4</v>
      </c>
      <c r="H190" s="440"/>
      <c r="I190" s="440"/>
      <c r="J190" s="440"/>
      <c r="K190" s="440"/>
      <c r="L190" s="440"/>
      <c r="M190" s="440"/>
      <c r="N190" s="440"/>
      <c r="O190" s="440"/>
      <c r="P190" s="440"/>
      <c r="Q190" s="440"/>
      <c r="R190" s="377">
        <v>0.4</v>
      </c>
      <c r="S190" s="439"/>
      <c r="T190" s="440"/>
      <c r="U190" s="440"/>
      <c r="V190" s="440"/>
      <c r="W190" s="440"/>
      <c r="X190" s="440"/>
      <c r="Y190" s="382">
        <f t="shared" si="113"/>
        <v>7152000</v>
      </c>
      <c r="Z190" s="436"/>
      <c r="AA190" s="437"/>
      <c r="AB190" s="436"/>
      <c r="AC190" s="436"/>
      <c r="AD190" s="436"/>
      <c r="AE190" s="436"/>
      <c r="AF190" s="436"/>
      <c r="AG190" s="436"/>
      <c r="AH190" s="436"/>
      <c r="AI190" s="436"/>
      <c r="AJ190" s="436"/>
      <c r="AK190" s="436"/>
      <c r="AL190" s="436"/>
      <c r="AM190" s="436"/>
      <c r="AN190" s="436"/>
      <c r="AO190" s="436"/>
      <c r="AP190" s="436"/>
      <c r="AQ190" s="436"/>
      <c r="AR190" s="436"/>
      <c r="AS190" s="436"/>
      <c r="AT190" s="435"/>
      <c r="AU190" s="24"/>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row>
    <row r="191" spans="1:75" ht="15.75">
      <c r="A191" s="438">
        <v>17</v>
      </c>
      <c r="B191" s="16" t="s">
        <v>38</v>
      </c>
      <c r="C191" s="451"/>
      <c r="D191" s="451"/>
      <c r="E191" s="377">
        <f t="shared" si="111"/>
        <v>0.4</v>
      </c>
      <c r="F191" s="439"/>
      <c r="G191" s="377">
        <f t="shared" si="112"/>
        <v>0.4</v>
      </c>
      <c r="H191" s="440"/>
      <c r="I191" s="440"/>
      <c r="J191" s="440"/>
      <c r="K191" s="440"/>
      <c r="L191" s="440"/>
      <c r="M191" s="440"/>
      <c r="N191" s="440"/>
      <c r="O191" s="440"/>
      <c r="P191" s="440"/>
      <c r="Q191" s="440"/>
      <c r="R191" s="377">
        <v>0.4</v>
      </c>
      <c r="S191" s="439"/>
      <c r="T191" s="440"/>
      <c r="U191" s="440"/>
      <c r="V191" s="440"/>
      <c r="W191" s="440"/>
      <c r="X191" s="440"/>
      <c r="Y191" s="382">
        <f t="shared" si="113"/>
        <v>7152000</v>
      </c>
      <c r="Z191" s="436"/>
      <c r="AA191" s="437"/>
      <c r="AB191" s="436"/>
      <c r="AC191" s="436"/>
      <c r="AD191" s="436"/>
      <c r="AE191" s="436"/>
      <c r="AF191" s="436"/>
      <c r="AG191" s="436"/>
      <c r="AH191" s="436"/>
      <c r="AI191" s="436"/>
      <c r="AJ191" s="436"/>
      <c r="AK191" s="436"/>
      <c r="AL191" s="436"/>
      <c r="AM191" s="436"/>
      <c r="AN191" s="436"/>
      <c r="AO191" s="436"/>
      <c r="AP191" s="436"/>
      <c r="AQ191" s="436"/>
      <c r="AR191" s="436"/>
      <c r="AS191" s="436"/>
      <c r="AT191" s="435"/>
      <c r="AU191" s="24"/>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row>
    <row r="192" spans="1:75" ht="15.75">
      <c r="A192" s="438">
        <v>18</v>
      </c>
      <c r="B192" s="16" t="s">
        <v>37</v>
      </c>
      <c r="C192" s="451"/>
      <c r="D192" s="451"/>
      <c r="E192" s="377">
        <f t="shared" si="111"/>
        <v>0.4</v>
      </c>
      <c r="F192" s="439"/>
      <c r="G192" s="377">
        <f t="shared" si="112"/>
        <v>0.4</v>
      </c>
      <c r="H192" s="440"/>
      <c r="I192" s="440"/>
      <c r="J192" s="440"/>
      <c r="K192" s="440"/>
      <c r="L192" s="440"/>
      <c r="M192" s="440"/>
      <c r="N192" s="440"/>
      <c r="O192" s="440"/>
      <c r="P192" s="440"/>
      <c r="Q192" s="440"/>
      <c r="R192" s="377">
        <v>0.4</v>
      </c>
      <c r="S192" s="439"/>
      <c r="T192" s="440"/>
      <c r="U192" s="440"/>
      <c r="V192" s="440"/>
      <c r="W192" s="440"/>
      <c r="X192" s="440"/>
      <c r="Y192" s="382">
        <f t="shared" si="113"/>
        <v>7152000</v>
      </c>
      <c r="Z192" s="436"/>
      <c r="AA192" s="437"/>
      <c r="AB192" s="436"/>
      <c r="AC192" s="436"/>
      <c r="AD192" s="436"/>
      <c r="AE192" s="436"/>
      <c r="AF192" s="436"/>
      <c r="AG192" s="436"/>
      <c r="AH192" s="436"/>
      <c r="AI192" s="436"/>
      <c r="AJ192" s="436"/>
      <c r="AK192" s="436"/>
      <c r="AL192" s="436"/>
      <c r="AM192" s="436"/>
      <c r="AN192" s="436"/>
      <c r="AO192" s="436"/>
      <c r="AP192" s="436"/>
      <c r="AQ192" s="436"/>
      <c r="AR192" s="436"/>
      <c r="AS192" s="436"/>
      <c r="AT192" s="435"/>
      <c r="AU192" s="24"/>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row>
    <row r="193" spans="1:75" ht="15.75">
      <c r="A193" s="438">
        <v>19</v>
      </c>
      <c r="B193" s="16" t="s">
        <v>36</v>
      </c>
      <c r="C193" s="451"/>
      <c r="D193" s="451"/>
      <c r="E193" s="377">
        <f t="shared" si="111"/>
        <v>0.4</v>
      </c>
      <c r="F193" s="439"/>
      <c r="G193" s="377">
        <f t="shared" si="112"/>
        <v>0.4</v>
      </c>
      <c r="H193" s="440"/>
      <c r="I193" s="440"/>
      <c r="J193" s="440"/>
      <c r="K193" s="440"/>
      <c r="L193" s="440"/>
      <c r="M193" s="440"/>
      <c r="N193" s="440"/>
      <c r="O193" s="440"/>
      <c r="P193" s="440"/>
      <c r="Q193" s="440"/>
      <c r="R193" s="377">
        <v>0.4</v>
      </c>
      <c r="S193" s="439"/>
      <c r="T193" s="440"/>
      <c r="U193" s="440"/>
      <c r="V193" s="440"/>
      <c r="W193" s="440"/>
      <c r="X193" s="440"/>
      <c r="Y193" s="382">
        <f t="shared" si="113"/>
        <v>7152000</v>
      </c>
      <c r="Z193" s="436"/>
      <c r="AA193" s="437"/>
      <c r="AB193" s="436"/>
      <c r="AC193" s="436"/>
      <c r="AD193" s="436"/>
      <c r="AE193" s="436"/>
      <c r="AF193" s="436"/>
      <c r="AG193" s="436"/>
      <c r="AH193" s="436"/>
      <c r="AI193" s="436"/>
      <c r="AJ193" s="436"/>
      <c r="AK193" s="436"/>
      <c r="AL193" s="436"/>
      <c r="AM193" s="436"/>
      <c r="AN193" s="436"/>
      <c r="AO193" s="436"/>
      <c r="AP193" s="436"/>
      <c r="AQ193" s="436"/>
      <c r="AR193" s="436"/>
      <c r="AS193" s="436"/>
      <c r="AT193" s="435"/>
      <c r="AU193" s="24"/>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row>
    <row r="194" spans="1:75" ht="15.75">
      <c r="A194" s="438">
        <v>20</v>
      </c>
      <c r="B194" s="16" t="s">
        <v>35</v>
      </c>
      <c r="C194" s="451"/>
      <c r="D194" s="451"/>
      <c r="E194" s="377">
        <f t="shared" si="111"/>
        <v>0.4</v>
      </c>
      <c r="F194" s="439"/>
      <c r="G194" s="377">
        <f t="shared" si="112"/>
        <v>0.4</v>
      </c>
      <c r="H194" s="440"/>
      <c r="I194" s="440"/>
      <c r="J194" s="440"/>
      <c r="K194" s="440"/>
      <c r="L194" s="440"/>
      <c r="M194" s="440"/>
      <c r="N194" s="440"/>
      <c r="O194" s="440"/>
      <c r="P194" s="440"/>
      <c r="Q194" s="440"/>
      <c r="R194" s="377">
        <v>0.4</v>
      </c>
      <c r="S194" s="439"/>
      <c r="T194" s="440"/>
      <c r="U194" s="440"/>
      <c r="V194" s="440"/>
      <c r="W194" s="440"/>
      <c r="X194" s="440"/>
      <c r="Y194" s="382">
        <f t="shared" si="113"/>
        <v>7152000</v>
      </c>
      <c r="Z194" s="436"/>
      <c r="AA194" s="437"/>
      <c r="AB194" s="436"/>
      <c r="AC194" s="436"/>
      <c r="AD194" s="436"/>
      <c r="AE194" s="436"/>
      <c r="AF194" s="436"/>
      <c r="AG194" s="436"/>
      <c r="AH194" s="436"/>
      <c r="AI194" s="436"/>
      <c r="AJ194" s="436"/>
      <c r="AK194" s="436"/>
      <c r="AL194" s="436"/>
      <c r="AM194" s="436"/>
      <c r="AN194" s="436"/>
      <c r="AO194" s="436"/>
      <c r="AP194" s="436"/>
      <c r="AQ194" s="436"/>
      <c r="AR194" s="436"/>
      <c r="AS194" s="436"/>
      <c r="AT194" s="435"/>
      <c r="AU194" s="24"/>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row>
    <row r="195" spans="1:75" ht="15.75">
      <c r="A195" s="438">
        <v>21</v>
      </c>
      <c r="B195" s="16" t="s">
        <v>34</v>
      </c>
      <c r="C195" s="451"/>
      <c r="D195" s="451"/>
      <c r="E195" s="377">
        <f t="shared" si="111"/>
        <v>0.4</v>
      </c>
      <c r="F195" s="439"/>
      <c r="G195" s="377">
        <f t="shared" si="112"/>
        <v>0.4</v>
      </c>
      <c r="H195" s="440"/>
      <c r="I195" s="440"/>
      <c r="J195" s="440"/>
      <c r="K195" s="440"/>
      <c r="L195" s="440"/>
      <c r="M195" s="440"/>
      <c r="N195" s="440"/>
      <c r="O195" s="440"/>
      <c r="P195" s="440"/>
      <c r="Q195" s="440"/>
      <c r="R195" s="377">
        <v>0.4</v>
      </c>
      <c r="S195" s="439"/>
      <c r="T195" s="440"/>
      <c r="U195" s="440"/>
      <c r="V195" s="440"/>
      <c r="W195" s="440"/>
      <c r="X195" s="440"/>
      <c r="Y195" s="382">
        <f t="shared" si="113"/>
        <v>7152000</v>
      </c>
      <c r="Z195" s="436"/>
      <c r="AA195" s="437"/>
      <c r="AB195" s="436"/>
      <c r="AC195" s="436"/>
      <c r="AD195" s="436"/>
      <c r="AE195" s="436"/>
      <c r="AF195" s="436"/>
      <c r="AG195" s="436"/>
      <c r="AH195" s="436"/>
      <c r="AI195" s="436"/>
      <c r="AJ195" s="436"/>
      <c r="AK195" s="436"/>
      <c r="AL195" s="436"/>
      <c r="AM195" s="436"/>
      <c r="AN195" s="436"/>
      <c r="AO195" s="436"/>
      <c r="AP195" s="436"/>
      <c r="AQ195" s="436"/>
      <c r="AR195" s="436"/>
      <c r="AS195" s="436"/>
      <c r="AT195" s="435"/>
      <c r="AU195" s="24"/>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row>
    <row r="196" spans="1:75" ht="15.75">
      <c r="A196" s="438">
        <v>22</v>
      </c>
      <c r="B196" s="16" t="s">
        <v>33</v>
      </c>
      <c r="C196" s="451"/>
      <c r="D196" s="451"/>
      <c r="E196" s="377">
        <f t="shared" si="111"/>
        <v>0.4</v>
      </c>
      <c r="F196" s="439"/>
      <c r="G196" s="377">
        <f t="shared" si="112"/>
        <v>0.4</v>
      </c>
      <c r="H196" s="440"/>
      <c r="I196" s="440"/>
      <c r="J196" s="440"/>
      <c r="K196" s="440"/>
      <c r="L196" s="440"/>
      <c r="M196" s="440"/>
      <c r="N196" s="440"/>
      <c r="O196" s="440"/>
      <c r="P196" s="440"/>
      <c r="Q196" s="440"/>
      <c r="R196" s="377">
        <v>0.4</v>
      </c>
      <c r="S196" s="439"/>
      <c r="T196" s="440"/>
      <c r="U196" s="440"/>
      <c r="V196" s="440"/>
      <c r="W196" s="440"/>
      <c r="X196" s="440"/>
      <c r="Y196" s="382">
        <f t="shared" si="113"/>
        <v>7152000</v>
      </c>
      <c r="Z196" s="436"/>
      <c r="AA196" s="437"/>
      <c r="AB196" s="436"/>
      <c r="AC196" s="436"/>
      <c r="AD196" s="436"/>
      <c r="AE196" s="436"/>
      <c r="AF196" s="436"/>
      <c r="AG196" s="436"/>
      <c r="AH196" s="436"/>
      <c r="AI196" s="436"/>
      <c r="AJ196" s="436"/>
      <c r="AK196" s="436"/>
      <c r="AL196" s="436"/>
      <c r="AM196" s="436"/>
      <c r="AN196" s="436"/>
      <c r="AO196" s="436"/>
      <c r="AP196" s="436"/>
      <c r="AQ196" s="436"/>
      <c r="AR196" s="436"/>
      <c r="AS196" s="436"/>
      <c r="AT196" s="435"/>
      <c r="AU196" s="24"/>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row>
    <row r="197" spans="1:75" ht="15.75">
      <c r="A197" s="438">
        <v>23</v>
      </c>
      <c r="B197" s="16" t="s">
        <v>32</v>
      </c>
      <c r="C197" s="451"/>
      <c r="D197" s="451"/>
      <c r="E197" s="377">
        <f t="shared" si="111"/>
        <v>0.4</v>
      </c>
      <c r="F197" s="439"/>
      <c r="G197" s="377">
        <f t="shared" si="112"/>
        <v>0.4</v>
      </c>
      <c r="H197" s="440"/>
      <c r="I197" s="440"/>
      <c r="J197" s="440"/>
      <c r="K197" s="440"/>
      <c r="L197" s="440"/>
      <c r="M197" s="440"/>
      <c r="N197" s="440"/>
      <c r="O197" s="440"/>
      <c r="P197" s="440"/>
      <c r="Q197" s="440"/>
      <c r="R197" s="377">
        <v>0.4</v>
      </c>
      <c r="S197" s="439"/>
      <c r="T197" s="440"/>
      <c r="U197" s="440"/>
      <c r="V197" s="440"/>
      <c r="W197" s="440"/>
      <c r="X197" s="440"/>
      <c r="Y197" s="382">
        <f t="shared" si="113"/>
        <v>7152000</v>
      </c>
      <c r="Z197" s="436"/>
      <c r="AA197" s="437"/>
      <c r="AB197" s="436"/>
      <c r="AC197" s="436"/>
      <c r="AD197" s="436"/>
      <c r="AE197" s="436"/>
      <c r="AF197" s="436"/>
      <c r="AG197" s="436"/>
      <c r="AH197" s="436"/>
      <c r="AI197" s="436"/>
      <c r="AJ197" s="436"/>
      <c r="AK197" s="436"/>
      <c r="AL197" s="436"/>
      <c r="AM197" s="436"/>
      <c r="AN197" s="436"/>
      <c r="AO197" s="436"/>
      <c r="AP197" s="436"/>
      <c r="AQ197" s="436"/>
      <c r="AR197" s="436"/>
      <c r="AS197" s="436"/>
      <c r="AT197" s="435"/>
      <c r="AU197" s="24"/>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row>
    <row r="198" spans="1:75" ht="15.75">
      <c r="A198" s="438">
        <v>24</v>
      </c>
      <c r="B198" s="16" t="s">
        <v>31</v>
      </c>
      <c r="C198" s="451"/>
      <c r="D198" s="451"/>
      <c r="E198" s="377">
        <f t="shared" si="111"/>
        <v>0.4</v>
      </c>
      <c r="F198" s="439"/>
      <c r="G198" s="377">
        <f t="shared" si="112"/>
        <v>0.4</v>
      </c>
      <c r="H198" s="440"/>
      <c r="I198" s="440"/>
      <c r="J198" s="440"/>
      <c r="K198" s="440"/>
      <c r="L198" s="440"/>
      <c r="M198" s="440"/>
      <c r="N198" s="440"/>
      <c r="O198" s="440"/>
      <c r="P198" s="440"/>
      <c r="Q198" s="440"/>
      <c r="R198" s="377">
        <v>0.4</v>
      </c>
      <c r="S198" s="439"/>
      <c r="T198" s="440"/>
      <c r="U198" s="440"/>
      <c r="V198" s="440"/>
      <c r="W198" s="440"/>
      <c r="X198" s="440"/>
      <c r="Y198" s="382">
        <f t="shared" si="113"/>
        <v>7152000</v>
      </c>
      <c r="Z198" s="436"/>
      <c r="AA198" s="437"/>
      <c r="AB198" s="436"/>
      <c r="AC198" s="436"/>
      <c r="AD198" s="436"/>
      <c r="AE198" s="436"/>
      <c r="AF198" s="436"/>
      <c r="AG198" s="436"/>
      <c r="AH198" s="436"/>
      <c r="AI198" s="436"/>
      <c r="AJ198" s="436"/>
      <c r="AK198" s="436"/>
      <c r="AL198" s="436"/>
      <c r="AM198" s="436"/>
      <c r="AN198" s="436"/>
      <c r="AO198" s="436"/>
      <c r="AP198" s="436"/>
      <c r="AQ198" s="436"/>
      <c r="AR198" s="436"/>
      <c r="AS198" s="436"/>
      <c r="AT198" s="435"/>
      <c r="AU198" s="24"/>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row>
    <row r="199" spans="1:75" ht="15.75">
      <c r="A199" s="438">
        <v>25</v>
      </c>
      <c r="B199" s="16" t="s">
        <v>30</v>
      </c>
      <c r="C199" s="451"/>
      <c r="D199" s="451"/>
      <c r="E199" s="377">
        <f t="shared" si="111"/>
        <v>0.4</v>
      </c>
      <c r="F199" s="439"/>
      <c r="G199" s="377">
        <f t="shared" si="112"/>
        <v>0.4</v>
      </c>
      <c r="H199" s="440"/>
      <c r="I199" s="440"/>
      <c r="J199" s="440"/>
      <c r="K199" s="440"/>
      <c r="L199" s="440"/>
      <c r="M199" s="440"/>
      <c r="N199" s="440"/>
      <c r="O199" s="440"/>
      <c r="P199" s="440"/>
      <c r="Q199" s="440"/>
      <c r="R199" s="377">
        <v>0.4</v>
      </c>
      <c r="S199" s="439"/>
      <c r="T199" s="440"/>
      <c r="U199" s="440"/>
      <c r="V199" s="440"/>
      <c r="W199" s="440"/>
      <c r="X199" s="440"/>
      <c r="Y199" s="382">
        <f t="shared" si="113"/>
        <v>7152000</v>
      </c>
      <c r="Z199" s="436"/>
      <c r="AA199" s="437"/>
      <c r="AB199" s="436"/>
      <c r="AC199" s="436"/>
      <c r="AD199" s="436"/>
      <c r="AE199" s="436"/>
      <c r="AF199" s="436"/>
      <c r="AG199" s="436"/>
      <c r="AH199" s="436"/>
      <c r="AI199" s="436"/>
      <c r="AJ199" s="436"/>
      <c r="AK199" s="436"/>
      <c r="AL199" s="436"/>
      <c r="AM199" s="436"/>
      <c r="AN199" s="436"/>
      <c r="AO199" s="436"/>
      <c r="AP199" s="436"/>
      <c r="AQ199" s="436"/>
      <c r="AR199" s="436"/>
      <c r="AS199" s="436"/>
      <c r="AT199" s="435"/>
      <c r="AU199" s="24"/>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row>
    <row r="200" spans="1:75" ht="15.75">
      <c r="A200" s="438">
        <v>26</v>
      </c>
      <c r="B200" s="16" t="s">
        <v>29</v>
      </c>
      <c r="C200" s="451"/>
      <c r="D200" s="451"/>
      <c r="E200" s="377">
        <f t="shared" si="111"/>
        <v>0.4</v>
      </c>
      <c r="F200" s="439"/>
      <c r="G200" s="377">
        <f t="shared" si="112"/>
        <v>0.4</v>
      </c>
      <c r="H200" s="440"/>
      <c r="I200" s="440"/>
      <c r="J200" s="440"/>
      <c r="K200" s="440"/>
      <c r="L200" s="440"/>
      <c r="M200" s="440"/>
      <c r="N200" s="440"/>
      <c r="O200" s="440"/>
      <c r="P200" s="440"/>
      <c r="Q200" s="440"/>
      <c r="R200" s="377">
        <v>0.4</v>
      </c>
      <c r="S200" s="439"/>
      <c r="T200" s="440"/>
      <c r="U200" s="440"/>
      <c r="V200" s="440"/>
      <c r="W200" s="440"/>
      <c r="X200" s="440"/>
      <c r="Y200" s="382">
        <f t="shared" si="113"/>
        <v>7152000</v>
      </c>
      <c r="Z200" s="436"/>
      <c r="AA200" s="437"/>
      <c r="AB200" s="436"/>
      <c r="AC200" s="436"/>
      <c r="AD200" s="436"/>
      <c r="AE200" s="436"/>
      <c r="AF200" s="436"/>
      <c r="AG200" s="436"/>
      <c r="AH200" s="436"/>
      <c r="AI200" s="436"/>
      <c r="AJ200" s="436"/>
      <c r="AK200" s="436"/>
      <c r="AL200" s="436"/>
      <c r="AM200" s="436"/>
      <c r="AN200" s="436"/>
      <c r="AO200" s="436"/>
      <c r="AP200" s="436"/>
      <c r="AQ200" s="436"/>
      <c r="AR200" s="436"/>
      <c r="AS200" s="436"/>
      <c r="AT200" s="435"/>
      <c r="AU200" s="24"/>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row>
    <row r="201" spans="1:75" ht="15.75">
      <c r="A201" s="438">
        <v>27</v>
      </c>
      <c r="B201" s="16" t="s">
        <v>28</v>
      </c>
      <c r="C201" s="451"/>
      <c r="D201" s="451"/>
      <c r="E201" s="377">
        <f t="shared" si="111"/>
        <v>0.4</v>
      </c>
      <c r="F201" s="439"/>
      <c r="G201" s="377">
        <f t="shared" si="112"/>
        <v>0.4</v>
      </c>
      <c r="H201" s="440"/>
      <c r="I201" s="440"/>
      <c r="J201" s="440"/>
      <c r="K201" s="440"/>
      <c r="L201" s="440"/>
      <c r="M201" s="440"/>
      <c r="N201" s="440"/>
      <c r="O201" s="440"/>
      <c r="P201" s="440"/>
      <c r="Q201" s="440"/>
      <c r="R201" s="377">
        <v>0.4</v>
      </c>
      <c r="S201" s="439"/>
      <c r="T201" s="440"/>
      <c r="U201" s="440"/>
      <c r="V201" s="440"/>
      <c r="W201" s="440"/>
      <c r="X201" s="440"/>
      <c r="Y201" s="382">
        <f t="shared" si="113"/>
        <v>7152000</v>
      </c>
      <c r="Z201" s="436"/>
      <c r="AA201" s="437"/>
      <c r="AB201" s="436"/>
      <c r="AC201" s="436"/>
      <c r="AD201" s="436"/>
      <c r="AE201" s="436"/>
      <c r="AF201" s="436"/>
      <c r="AG201" s="436"/>
      <c r="AH201" s="436"/>
      <c r="AI201" s="436"/>
      <c r="AJ201" s="436"/>
      <c r="AK201" s="436"/>
      <c r="AL201" s="436"/>
      <c r="AM201" s="436"/>
      <c r="AN201" s="436"/>
      <c r="AO201" s="436"/>
      <c r="AP201" s="436"/>
      <c r="AQ201" s="436"/>
      <c r="AR201" s="436"/>
      <c r="AS201" s="436"/>
      <c r="AT201" s="435"/>
      <c r="AU201" s="24"/>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row>
    <row r="202" spans="1:75" ht="15.75">
      <c r="A202" s="425"/>
      <c r="B202" s="426"/>
      <c r="C202" s="449"/>
      <c r="D202" s="449"/>
      <c r="E202" s="299"/>
      <c r="F202" s="306"/>
      <c r="G202" s="299"/>
      <c r="H202" s="299"/>
      <c r="I202" s="299"/>
      <c r="J202" s="299"/>
      <c r="K202" s="299"/>
      <c r="L202" s="299"/>
      <c r="M202" s="299"/>
      <c r="N202" s="299"/>
      <c r="O202" s="299"/>
      <c r="P202" s="299"/>
      <c r="Q202" s="299"/>
      <c r="R202" s="299"/>
      <c r="S202" s="306"/>
      <c r="T202" s="299"/>
      <c r="U202" s="299"/>
      <c r="V202" s="299"/>
      <c r="W202" s="299"/>
      <c r="X202" s="300"/>
      <c r="Y202" s="307">
        <f t="shared" si="113"/>
        <v>0</v>
      </c>
      <c r="Z202" s="436"/>
      <c r="AA202" s="437"/>
      <c r="AB202" s="436"/>
      <c r="AC202" s="436"/>
      <c r="AD202" s="436"/>
      <c r="AE202" s="436"/>
      <c r="AF202" s="436"/>
      <c r="AG202" s="436"/>
      <c r="AH202" s="436"/>
      <c r="AI202" s="436"/>
      <c r="AJ202" s="436"/>
      <c r="AK202" s="436"/>
      <c r="AL202" s="436"/>
      <c r="AM202" s="436"/>
      <c r="AN202" s="436"/>
      <c r="AO202" s="436"/>
      <c r="AP202" s="436"/>
      <c r="AQ202" s="436"/>
      <c r="AR202" s="436"/>
      <c r="AS202" s="436"/>
      <c r="AT202" s="435"/>
      <c r="AU202" s="18"/>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c r="BR202" s="14"/>
      <c r="BS202" s="14"/>
      <c r="BT202" s="14"/>
      <c r="BU202" s="14"/>
      <c r="BV202" s="14"/>
      <c r="BW202" s="14"/>
    </row>
    <row r="203" spans="1:75" ht="15">
      <c r="A203" s="13"/>
      <c r="B203" s="12"/>
      <c r="C203" s="452"/>
      <c r="D203" s="452"/>
      <c r="E203" s="277"/>
      <c r="F203" s="268"/>
      <c r="G203" s="267"/>
      <c r="H203" s="267"/>
      <c r="I203" s="267"/>
      <c r="J203" s="267"/>
      <c r="K203" s="267"/>
      <c r="L203" s="267"/>
      <c r="M203" s="267"/>
      <c r="N203" s="267"/>
      <c r="O203" s="277"/>
      <c r="P203" s="267"/>
      <c r="Q203" s="267"/>
      <c r="R203" s="267"/>
      <c r="S203" s="268"/>
      <c r="T203" s="267"/>
      <c r="U203" s="277"/>
      <c r="V203" s="277"/>
      <c r="W203" s="277"/>
      <c r="X203" s="267"/>
      <c r="Y203" s="269"/>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row>
  </sheetData>
  <sheetProtection/>
  <mergeCells count="22">
    <mergeCell ref="AU7:AU9"/>
    <mergeCell ref="AT7:AT9"/>
    <mergeCell ref="AA8:AA9"/>
    <mergeCell ref="AB8:AB9"/>
    <mergeCell ref="AC8:AC9"/>
    <mergeCell ref="AD8:AR8"/>
    <mergeCell ref="D7:D9"/>
    <mergeCell ref="E7:X7"/>
    <mergeCell ref="E8:E9"/>
    <mergeCell ref="F8:F9"/>
    <mergeCell ref="G8:G9"/>
    <mergeCell ref="H8:X8"/>
    <mergeCell ref="Y7:Y9"/>
    <mergeCell ref="Z7:Z9"/>
    <mergeCell ref="AS8:AS9"/>
    <mergeCell ref="AA7:AS7"/>
    <mergeCell ref="A2:S2"/>
    <mergeCell ref="A4:Z4"/>
    <mergeCell ref="A5:Z5"/>
    <mergeCell ref="A7:A9"/>
    <mergeCell ref="B7:B9"/>
    <mergeCell ref="C7:C9"/>
  </mergeCells>
  <printOptions/>
  <pageMargins left="0.7" right="0.7" top="0.75" bottom="0.75" header="0.3" footer="0.3"/>
  <pageSetup horizontalDpi="600" verticalDpi="600" orientation="landscape" paperSize="9" scale="40" r:id="rId1"/>
</worksheet>
</file>

<file path=xl/worksheets/sheet5.xml><?xml version="1.0" encoding="utf-8"?>
<worksheet xmlns="http://schemas.openxmlformats.org/spreadsheetml/2006/main" xmlns:r="http://schemas.openxmlformats.org/officeDocument/2006/relationships">
  <sheetPr>
    <tabColor rgb="FFC00000"/>
  </sheetPr>
  <dimension ref="A1:BW158"/>
  <sheetViews>
    <sheetView zoomScale="80" zoomScaleNormal="80" zoomScalePageLayoutView="0" workbookViewId="0" topLeftCell="A1">
      <pane ySplit="9" topLeftCell="A157" activePane="bottomLeft" state="frozen"/>
      <selection pane="topLeft" activeCell="A1" sqref="A1"/>
      <selection pane="bottomLeft" activeCell="W158" sqref="W158"/>
    </sheetView>
  </sheetViews>
  <sheetFormatPr defaultColWidth="9.140625" defaultRowHeight="15"/>
  <cols>
    <col min="1" max="1" width="6.00390625" style="47" customWidth="1"/>
    <col min="2" max="2" width="44.28125" style="78" customWidth="1"/>
    <col min="3" max="3" width="9.7109375" style="79" customWidth="1"/>
    <col min="4" max="4" width="11.140625" style="80" customWidth="1"/>
    <col min="5" max="5" width="9.8515625" style="79" customWidth="1"/>
    <col min="6" max="6" width="8.140625" style="79" customWidth="1"/>
    <col min="7" max="7" width="10.00390625" style="79" customWidth="1"/>
    <col min="8" max="8" width="7.7109375" style="79" customWidth="1"/>
    <col min="9" max="9" width="6.8515625" style="79" customWidth="1"/>
    <col min="10" max="10" width="8.57421875" style="79" customWidth="1"/>
    <col min="11" max="11" width="6.421875" style="79" customWidth="1"/>
    <col min="12" max="12" width="8.28125" style="79" customWidth="1"/>
    <col min="13" max="13" width="7.7109375" style="79" customWidth="1"/>
    <col min="14" max="14" width="9.57421875" style="79" customWidth="1"/>
    <col min="15" max="15" width="6.7109375" style="79" customWidth="1"/>
    <col min="16" max="16" width="6.57421875" style="79" customWidth="1"/>
    <col min="17" max="17" width="6.8515625" style="79" customWidth="1"/>
    <col min="18" max="19" width="9.140625" style="79" customWidth="1"/>
    <col min="20" max="20" width="7.8515625" style="79" customWidth="1"/>
    <col min="21" max="21" width="6.57421875" style="79" customWidth="1"/>
    <col min="22" max="22" width="11.8515625" style="79" customWidth="1"/>
    <col min="23" max="23" width="19.00390625" style="102" customWidth="1"/>
    <col min="24" max="24" width="13.421875" style="47" customWidth="1"/>
    <col min="25" max="25" width="15.140625" style="47" bestFit="1" customWidth="1"/>
    <col min="26" max="26" width="12.28125" style="47" bestFit="1" customWidth="1"/>
    <col min="27" max="16384" width="9.140625" style="47" customWidth="1"/>
  </cols>
  <sheetData>
    <row r="1" spans="1:23" s="42" customFormat="1" ht="12.75">
      <c r="A1" s="42" t="s">
        <v>1</v>
      </c>
      <c r="B1" s="43"/>
      <c r="C1" s="44"/>
      <c r="D1" s="45"/>
      <c r="E1" s="44"/>
      <c r="F1" s="44"/>
      <c r="G1" s="44"/>
      <c r="H1" s="44"/>
      <c r="I1" s="44"/>
      <c r="J1" s="44"/>
      <c r="K1" s="44"/>
      <c r="L1" s="44"/>
      <c r="M1" s="44"/>
      <c r="N1" s="44"/>
      <c r="O1" s="44"/>
      <c r="P1" s="44"/>
      <c r="Q1" s="44"/>
      <c r="R1" s="44"/>
      <c r="S1" s="44"/>
      <c r="T1" s="44"/>
      <c r="U1" s="44"/>
      <c r="V1" s="44" t="s">
        <v>234</v>
      </c>
      <c r="W1" s="93"/>
    </row>
    <row r="2" spans="1:23" ht="15" customHeight="1" hidden="1">
      <c r="A2" s="627" t="s">
        <v>232</v>
      </c>
      <c r="B2" s="627"/>
      <c r="C2" s="627"/>
      <c r="D2" s="46"/>
      <c r="E2" s="46"/>
      <c r="F2" s="46"/>
      <c r="G2" s="46"/>
      <c r="H2" s="46"/>
      <c r="I2" s="46"/>
      <c r="J2" s="46"/>
      <c r="K2" s="46"/>
      <c r="L2" s="46"/>
      <c r="M2" s="46"/>
      <c r="N2" s="46"/>
      <c r="O2" s="46"/>
      <c r="P2" s="46"/>
      <c r="Q2" s="46"/>
      <c r="R2" s="46"/>
      <c r="S2" s="46"/>
      <c r="T2" s="46"/>
      <c r="U2" s="46"/>
      <c r="V2" s="46"/>
      <c r="W2" s="94"/>
    </row>
    <row r="3" spans="1:23" ht="15" customHeight="1" hidden="1">
      <c r="A3" s="48"/>
      <c r="B3" s="43"/>
      <c r="C3" s="49"/>
      <c r="D3" s="45"/>
      <c r="E3" s="49"/>
      <c r="F3" s="49"/>
      <c r="G3" s="49"/>
      <c r="H3" s="49"/>
      <c r="I3" s="49"/>
      <c r="J3" s="49"/>
      <c r="K3" s="49"/>
      <c r="L3" s="49"/>
      <c r="M3" s="49"/>
      <c r="N3" s="49"/>
      <c r="O3" s="49"/>
      <c r="P3" s="49"/>
      <c r="Q3" s="49"/>
      <c r="R3" s="49"/>
      <c r="S3" s="49"/>
      <c r="T3" s="49"/>
      <c r="U3" s="49"/>
      <c r="V3" s="49"/>
      <c r="W3" s="95"/>
    </row>
    <row r="4" spans="1:24" ht="15" customHeight="1">
      <c r="A4" s="627" t="s">
        <v>235</v>
      </c>
      <c r="B4" s="627"/>
      <c r="C4" s="627"/>
      <c r="D4" s="627"/>
      <c r="E4" s="627"/>
      <c r="F4" s="627"/>
      <c r="G4" s="627"/>
      <c r="H4" s="627"/>
      <c r="I4" s="627"/>
      <c r="J4" s="627"/>
      <c r="K4" s="627"/>
      <c r="L4" s="627"/>
      <c r="M4" s="627"/>
      <c r="N4" s="627"/>
      <c r="O4" s="627"/>
      <c r="P4" s="627"/>
      <c r="Q4" s="627"/>
      <c r="R4" s="627"/>
      <c r="S4" s="627"/>
      <c r="T4" s="627"/>
      <c r="U4" s="627"/>
      <c r="V4" s="627"/>
      <c r="W4" s="627"/>
      <c r="X4" s="627"/>
    </row>
    <row r="5" spans="1:24" ht="15" customHeight="1">
      <c r="A5" s="628" t="s">
        <v>236</v>
      </c>
      <c r="B5" s="628"/>
      <c r="C5" s="628"/>
      <c r="D5" s="628"/>
      <c r="E5" s="628"/>
      <c r="F5" s="628"/>
      <c r="G5" s="628"/>
      <c r="H5" s="628"/>
      <c r="I5" s="628"/>
      <c r="J5" s="628"/>
      <c r="K5" s="628"/>
      <c r="L5" s="628"/>
      <c r="M5" s="628"/>
      <c r="N5" s="628"/>
      <c r="O5" s="628"/>
      <c r="P5" s="628"/>
      <c r="Q5" s="628"/>
      <c r="R5" s="628"/>
      <c r="S5" s="628"/>
      <c r="T5" s="628"/>
      <c r="U5" s="628"/>
      <c r="V5" s="628"/>
      <c r="W5" s="628"/>
      <c r="X5" s="628"/>
    </row>
    <row r="6" spans="1:24" ht="15" customHeight="1">
      <c r="A6" s="48"/>
      <c r="B6" s="43"/>
      <c r="C6" s="49"/>
      <c r="D6" s="45"/>
      <c r="E6" s="49"/>
      <c r="F6" s="49"/>
      <c r="G6" s="49"/>
      <c r="H6" s="49"/>
      <c r="I6" s="49"/>
      <c r="J6" s="49"/>
      <c r="K6" s="49"/>
      <c r="L6" s="49"/>
      <c r="M6" s="49"/>
      <c r="N6" s="49"/>
      <c r="O6" s="49"/>
      <c r="P6" s="49"/>
      <c r="Q6" s="49"/>
      <c r="R6" s="49"/>
      <c r="S6" s="49"/>
      <c r="T6" s="49"/>
      <c r="U6" s="49"/>
      <c r="V6" s="49"/>
      <c r="W6" s="95"/>
      <c r="X6" s="50"/>
    </row>
    <row r="7" spans="1:24" ht="15" customHeight="1">
      <c r="A7" s="629" t="s">
        <v>0</v>
      </c>
      <c r="B7" s="629" t="s">
        <v>230</v>
      </c>
      <c r="C7" s="610" t="s">
        <v>237</v>
      </c>
      <c r="D7" s="613" t="s">
        <v>238</v>
      </c>
      <c r="E7" s="613"/>
      <c r="F7" s="613"/>
      <c r="G7" s="613"/>
      <c r="H7" s="613"/>
      <c r="I7" s="613"/>
      <c r="J7" s="613"/>
      <c r="K7" s="613"/>
      <c r="L7" s="613"/>
      <c r="M7" s="613"/>
      <c r="N7" s="613"/>
      <c r="O7" s="613"/>
      <c r="P7" s="613"/>
      <c r="Q7" s="613"/>
      <c r="R7" s="613"/>
      <c r="S7" s="613"/>
      <c r="T7" s="613"/>
      <c r="U7" s="613"/>
      <c r="V7" s="613"/>
      <c r="W7" s="614" t="s">
        <v>233</v>
      </c>
      <c r="X7" s="617" t="s">
        <v>3</v>
      </c>
    </row>
    <row r="8" spans="1:24" s="51" customFormat="1" ht="28.5" customHeight="1">
      <c r="A8" s="630"/>
      <c r="B8" s="630"/>
      <c r="C8" s="611"/>
      <c r="D8" s="618" t="s">
        <v>24</v>
      </c>
      <c r="E8" s="612" t="s">
        <v>225</v>
      </c>
      <c r="F8" s="612" t="s">
        <v>224</v>
      </c>
      <c r="G8" s="623" t="s">
        <v>20</v>
      </c>
      <c r="H8" s="624"/>
      <c r="I8" s="624"/>
      <c r="J8" s="624"/>
      <c r="K8" s="624"/>
      <c r="L8" s="624"/>
      <c r="M8" s="624"/>
      <c r="N8" s="624"/>
      <c r="O8" s="624"/>
      <c r="P8" s="624"/>
      <c r="Q8" s="624"/>
      <c r="R8" s="624"/>
      <c r="S8" s="624"/>
      <c r="T8" s="624"/>
      <c r="U8" s="624"/>
      <c r="V8" s="622" t="s">
        <v>207</v>
      </c>
      <c r="W8" s="615"/>
      <c r="X8" s="617"/>
    </row>
    <row r="9" spans="1:25" s="51" customFormat="1" ht="148.5" customHeight="1">
      <c r="A9" s="631"/>
      <c r="B9" s="631"/>
      <c r="C9" s="612"/>
      <c r="D9" s="619"/>
      <c r="E9" s="622"/>
      <c r="F9" s="622"/>
      <c r="G9" s="52" t="s">
        <v>223</v>
      </c>
      <c r="H9" s="52" t="s">
        <v>239</v>
      </c>
      <c r="I9" s="52" t="s">
        <v>221</v>
      </c>
      <c r="J9" s="52" t="s">
        <v>220</v>
      </c>
      <c r="K9" s="52" t="s">
        <v>219</v>
      </c>
      <c r="L9" s="52" t="s">
        <v>218</v>
      </c>
      <c r="M9" s="52" t="s">
        <v>217</v>
      </c>
      <c r="N9" s="52" t="s">
        <v>216</v>
      </c>
      <c r="O9" s="52" t="s">
        <v>215</v>
      </c>
      <c r="P9" s="52" t="s">
        <v>214</v>
      </c>
      <c r="Q9" s="52" t="s">
        <v>213</v>
      </c>
      <c r="R9" s="52" t="s">
        <v>212</v>
      </c>
      <c r="S9" s="52" t="s">
        <v>211</v>
      </c>
      <c r="T9" s="52" t="s">
        <v>240</v>
      </c>
      <c r="U9" s="53" t="s">
        <v>208</v>
      </c>
      <c r="V9" s="622"/>
      <c r="W9" s="616"/>
      <c r="X9" s="617"/>
      <c r="Y9" s="54"/>
    </row>
    <row r="10" spans="1:24" s="60" customFormat="1" ht="24" customHeight="1">
      <c r="A10" s="55">
        <v>1</v>
      </c>
      <c r="B10" s="56" t="s">
        <v>206</v>
      </c>
      <c r="C10" s="57" t="s">
        <v>205</v>
      </c>
      <c r="D10" s="58">
        <v>4</v>
      </c>
      <c r="E10" s="57">
        <v>5</v>
      </c>
      <c r="F10" s="57">
        <v>6</v>
      </c>
      <c r="G10" s="57">
        <v>7</v>
      </c>
      <c r="H10" s="57">
        <v>8</v>
      </c>
      <c r="I10" s="57">
        <v>9</v>
      </c>
      <c r="J10" s="57">
        <v>10</v>
      </c>
      <c r="K10" s="57">
        <v>11</v>
      </c>
      <c r="L10" s="57">
        <v>12</v>
      </c>
      <c r="M10" s="57">
        <v>13</v>
      </c>
      <c r="N10" s="57">
        <v>14</v>
      </c>
      <c r="O10" s="57">
        <v>15</v>
      </c>
      <c r="P10" s="57">
        <v>16</v>
      </c>
      <c r="Q10" s="57">
        <v>17</v>
      </c>
      <c r="R10" s="57">
        <v>18</v>
      </c>
      <c r="S10" s="57">
        <v>19</v>
      </c>
      <c r="T10" s="57">
        <v>20</v>
      </c>
      <c r="U10" s="57">
        <v>21</v>
      </c>
      <c r="V10" s="57">
        <v>22</v>
      </c>
      <c r="W10" s="96" t="s">
        <v>241</v>
      </c>
      <c r="X10" s="59"/>
    </row>
    <row r="11" spans="1:24" s="63" customFormat="1" ht="18" customHeight="1">
      <c r="A11" s="61"/>
      <c r="B11" s="61" t="s">
        <v>183</v>
      </c>
      <c r="C11" s="62"/>
      <c r="D11" s="62"/>
      <c r="E11" s="62"/>
      <c r="F11" s="62"/>
      <c r="G11" s="62"/>
      <c r="H11" s="62"/>
      <c r="I11" s="62"/>
      <c r="J11" s="62"/>
      <c r="K11" s="62"/>
      <c r="L11" s="62"/>
      <c r="M11" s="62"/>
      <c r="N11" s="62"/>
      <c r="O11" s="62"/>
      <c r="P11" s="62"/>
      <c r="Q11" s="62"/>
      <c r="R11" s="62"/>
      <c r="S11" s="62"/>
      <c r="T11" s="62"/>
      <c r="U11" s="62"/>
      <c r="V11" s="62"/>
      <c r="W11" s="97"/>
      <c r="X11" s="62"/>
    </row>
    <row r="12" spans="1:24" s="63" customFormat="1" ht="21" customHeight="1">
      <c r="A12" s="64" t="s">
        <v>4</v>
      </c>
      <c r="B12" s="65" t="s">
        <v>182</v>
      </c>
      <c r="C12" s="62"/>
      <c r="D12" s="62"/>
      <c r="E12" s="62"/>
      <c r="F12" s="62"/>
      <c r="G12" s="62"/>
      <c r="H12" s="62"/>
      <c r="I12" s="62"/>
      <c r="J12" s="62"/>
      <c r="K12" s="62"/>
      <c r="L12" s="62"/>
      <c r="M12" s="62"/>
      <c r="N12" s="62"/>
      <c r="O12" s="62"/>
      <c r="P12" s="62"/>
      <c r="Q12" s="62"/>
      <c r="R12" s="62"/>
      <c r="S12" s="62"/>
      <c r="T12" s="62"/>
      <c r="U12" s="62"/>
      <c r="V12" s="62"/>
      <c r="W12" s="97">
        <f>W13+W22+W30+W38+W92</f>
        <v>12820053118.95</v>
      </c>
      <c r="X12" s="62"/>
    </row>
    <row r="13" spans="1:24" s="63" customFormat="1" ht="12.75">
      <c r="A13" s="64">
        <v>1</v>
      </c>
      <c r="B13" s="65" t="s">
        <v>242</v>
      </c>
      <c r="C13" s="66">
        <f>+C19</f>
        <v>0</v>
      </c>
      <c r="D13" s="66">
        <f>SUM(D15:D21)</f>
        <v>38.373000000000005</v>
      </c>
      <c r="E13" s="66">
        <f aca="true" t="shared" si="0" ref="E13:X13">SUM(E15:E21)</f>
        <v>19.81</v>
      </c>
      <c r="F13" s="66">
        <f t="shared" si="0"/>
        <v>13.8254</v>
      </c>
      <c r="G13" s="66">
        <f t="shared" si="0"/>
        <v>4.2</v>
      </c>
      <c r="H13" s="66">
        <f t="shared" si="0"/>
        <v>0.35</v>
      </c>
      <c r="I13" s="66">
        <f t="shared" si="0"/>
        <v>0.24359999999999996</v>
      </c>
      <c r="J13" s="66">
        <f t="shared" si="0"/>
        <v>9.031799999999999</v>
      </c>
      <c r="K13" s="66">
        <f t="shared" si="0"/>
        <v>0</v>
      </c>
      <c r="L13" s="66">
        <f t="shared" si="0"/>
        <v>0</v>
      </c>
      <c r="M13" s="66">
        <f t="shared" si="0"/>
        <v>0</v>
      </c>
      <c r="N13" s="66">
        <f t="shared" si="0"/>
        <v>0</v>
      </c>
      <c r="O13" s="66">
        <f t="shared" si="0"/>
        <v>0</v>
      </c>
      <c r="P13" s="66">
        <f t="shared" si="0"/>
        <v>0</v>
      </c>
      <c r="Q13" s="66">
        <f t="shared" si="0"/>
        <v>0</v>
      </c>
      <c r="R13" s="66">
        <f t="shared" si="0"/>
        <v>0</v>
      </c>
      <c r="S13" s="66">
        <f t="shared" si="0"/>
        <v>0</v>
      </c>
      <c r="T13" s="66">
        <f t="shared" si="0"/>
        <v>0</v>
      </c>
      <c r="U13" s="66">
        <f t="shared" si="0"/>
        <v>0</v>
      </c>
      <c r="V13" s="66">
        <f t="shared" si="0"/>
        <v>4.7376</v>
      </c>
      <c r="W13" s="98">
        <f t="shared" si="0"/>
        <v>596385835.5</v>
      </c>
      <c r="X13" s="66">
        <f t="shared" si="0"/>
        <v>0</v>
      </c>
    </row>
    <row r="14" spans="1:24" s="63" customFormat="1" ht="25.5">
      <c r="A14" s="103" t="s">
        <v>99</v>
      </c>
      <c r="B14" s="104" t="s">
        <v>246</v>
      </c>
      <c r="C14" s="105">
        <v>6</v>
      </c>
      <c r="D14" s="105">
        <f>SUM(D15:D21)</f>
        <v>38.373000000000005</v>
      </c>
      <c r="E14" s="105">
        <f>SUM(E15:E21)</f>
        <v>19.81</v>
      </c>
      <c r="F14" s="105">
        <f>SUM(F15:F21)</f>
        <v>13.8254</v>
      </c>
      <c r="G14" s="105">
        <f>SUM(G15:G21)</f>
        <v>4.2</v>
      </c>
      <c r="H14" s="105">
        <f>SUM(H15:H21)</f>
        <v>0.35</v>
      </c>
      <c r="I14" s="105">
        <f aca="true" t="shared" si="1" ref="I14:U14">SUM(I15:I21)</f>
        <v>0.24359999999999996</v>
      </c>
      <c r="J14" s="105">
        <f>SUM(J15:J21)</f>
        <v>9.031799999999999</v>
      </c>
      <c r="K14" s="105">
        <f t="shared" si="1"/>
        <v>0</v>
      </c>
      <c r="L14" s="105">
        <f>SUM(L15:L21)</f>
        <v>0</v>
      </c>
      <c r="M14" s="105">
        <f t="shared" si="1"/>
        <v>0</v>
      </c>
      <c r="N14" s="105">
        <f t="shared" si="1"/>
        <v>0</v>
      </c>
      <c r="O14" s="105">
        <f t="shared" si="1"/>
        <v>0</v>
      </c>
      <c r="P14" s="105">
        <f t="shared" si="1"/>
        <v>0</v>
      </c>
      <c r="Q14" s="105">
        <f t="shared" si="1"/>
        <v>0</v>
      </c>
      <c r="R14" s="105">
        <f t="shared" si="1"/>
        <v>0</v>
      </c>
      <c r="S14" s="105">
        <f t="shared" si="1"/>
        <v>0</v>
      </c>
      <c r="T14" s="105">
        <f t="shared" si="1"/>
        <v>0</v>
      </c>
      <c r="U14" s="105">
        <f t="shared" si="1"/>
        <v>0</v>
      </c>
      <c r="V14" s="105">
        <f>SUM(V15:V21)</f>
        <v>4.7376</v>
      </c>
      <c r="W14" s="105">
        <f>SUM(W15:W21)</f>
        <v>596385835.5</v>
      </c>
      <c r="X14" s="105"/>
    </row>
    <row r="15" spans="1:25" s="60" customFormat="1" ht="30" customHeight="1">
      <c r="A15" s="90">
        <v>1</v>
      </c>
      <c r="B15" s="81" t="s">
        <v>180</v>
      </c>
      <c r="C15" s="83"/>
      <c r="D15" s="91">
        <f aca="true" t="shared" si="2" ref="D15:D21">E15+F15+V15</f>
        <v>8.109499999999999</v>
      </c>
      <c r="E15" s="82">
        <v>4.06</v>
      </c>
      <c r="F15" s="83">
        <f>SUM(G15:U15)</f>
        <v>3.0953999999999997</v>
      </c>
      <c r="G15" s="84">
        <v>0.7</v>
      </c>
      <c r="H15" s="83"/>
      <c r="I15" s="83">
        <f>E15*6%</f>
        <v>0.24359999999999996</v>
      </c>
      <c r="J15" s="85">
        <f>(E15+H15+I15)*50%</f>
        <v>2.1517999999999997</v>
      </c>
      <c r="K15" s="83"/>
      <c r="L15" s="86"/>
      <c r="M15" s="83"/>
      <c r="N15" s="83"/>
      <c r="O15" s="83"/>
      <c r="P15" s="83"/>
      <c r="Q15" s="83"/>
      <c r="R15" s="83"/>
      <c r="S15" s="83"/>
      <c r="T15" s="83"/>
      <c r="U15" s="83"/>
      <c r="V15" s="87">
        <f>(E15+H15)*23.5%</f>
        <v>0.9540999999999998</v>
      </c>
      <c r="W15" s="101">
        <f>(D15*9*1490000)+(8.41*1490000*3)</f>
        <v>146341095</v>
      </c>
      <c r="X15" s="83"/>
      <c r="Y15" s="92">
        <f>J15+L15+G15</f>
        <v>2.8518</v>
      </c>
    </row>
    <row r="16" spans="1:24" s="60" customFormat="1" ht="30" customHeight="1">
      <c r="A16" s="90">
        <v>2</v>
      </c>
      <c r="B16" s="88" t="s">
        <v>179</v>
      </c>
      <c r="C16" s="83"/>
      <c r="D16" s="91">
        <f t="shared" si="2"/>
        <v>4.7599</v>
      </c>
      <c r="E16" s="89">
        <v>2.34</v>
      </c>
      <c r="F16" s="83">
        <f aca="true" t="shared" si="3" ref="F16:F21">SUM(G16:U16)</f>
        <v>1.8699999999999999</v>
      </c>
      <c r="G16" s="84">
        <v>0.7</v>
      </c>
      <c r="H16" s="83"/>
      <c r="I16" s="83"/>
      <c r="J16" s="85">
        <f aca="true" t="shared" si="4" ref="J16:J21">(E16+H16)*50%</f>
        <v>1.17</v>
      </c>
      <c r="K16" s="83"/>
      <c r="L16" s="83"/>
      <c r="M16" s="83"/>
      <c r="N16" s="83"/>
      <c r="O16" s="83"/>
      <c r="P16" s="83"/>
      <c r="Q16" s="83"/>
      <c r="R16" s="83"/>
      <c r="S16" s="83"/>
      <c r="T16" s="83"/>
      <c r="U16" s="83"/>
      <c r="V16" s="87">
        <f aca="true" t="shared" si="5" ref="V16:V21">(E16+H16)*23.5%</f>
        <v>0.5498999999999999</v>
      </c>
      <c r="W16" s="101">
        <f>D16*12*1490000</f>
        <v>85107012</v>
      </c>
      <c r="X16" s="83"/>
    </row>
    <row r="17" spans="1:24" s="60" customFormat="1" ht="30" customHeight="1">
      <c r="A17" s="90">
        <v>3</v>
      </c>
      <c r="B17" s="88" t="s">
        <v>244</v>
      </c>
      <c r="C17" s="83"/>
      <c r="D17" s="91">
        <f t="shared" si="2"/>
        <v>4.7599</v>
      </c>
      <c r="E17" s="89">
        <v>2.34</v>
      </c>
      <c r="F17" s="83">
        <f t="shared" si="3"/>
        <v>1.8699999999999999</v>
      </c>
      <c r="G17" s="84">
        <v>0.7</v>
      </c>
      <c r="H17" s="83"/>
      <c r="I17" s="83"/>
      <c r="J17" s="85">
        <f t="shared" si="4"/>
        <v>1.17</v>
      </c>
      <c r="K17" s="83"/>
      <c r="L17" s="83"/>
      <c r="M17" s="83"/>
      <c r="N17" s="83"/>
      <c r="O17" s="83"/>
      <c r="P17" s="83"/>
      <c r="Q17" s="83"/>
      <c r="R17" s="83"/>
      <c r="S17" s="83"/>
      <c r="T17" s="83"/>
      <c r="U17" s="83"/>
      <c r="V17" s="87">
        <f t="shared" si="5"/>
        <v>0.5498999999999999</v>
      </c>
      <c r="W17" s="101">
        <f>D17*12*1490000</f>
        <v>85107012</v>
      </c>
      <c r="X17" s="83"/>
    </row>
    <row r="18" spans="1:24" s="60" customFormat="1" ht="30" customHeight="1">
      <c r="A18" s="90">
        <v>4</v>
      </c>
      <c r="B18" s="88" t="s">
        <v>176</v>
      </c>
      <c r="C18" s="83"/>
      <c r="D18" s="91">
        <f t="shared" si="2"/>
        <v>4.3435</v>
      </c>
      <c r="E18" s="89">
        <v>2.1</v>
      </c>
      <c r="F18" s="83">
        <f t="shared" si="3"/>
        <v>1.75</v>
      </c>
      <c r="G18" s="84">
        <v>0.7</v>
      </c>
      <c r="H18" s="83"/>
      <c r="I18" s="83"/>
      <c r="J18" s="85">
        <f t="shared" si="4"/>
        <v>1.05</v>
      </c>
      <c r="K18" s="83"/>
      <c r="L18" s="83"/>
      <c r="M18" s="83"/>
      <c r="N18" s="83"/>
      <c r="O18" s="83"/>
      <c r="P18" s="83"/>
      <c r="Q18" s="83"/>
      <c r="R18" s="83"/>
      <c r="S18" s="83"/>
      <c r="T18" s="83"/>
      <c r="U18" s="83"/>
      <c r="V18" s="87">
        <f t="shared" si="5"/>
        <v>0.4935</v>
      </c>
      <c r="W18" s="101">
        <f>D18*12*1490000</f>
        <v>77661780</v>
      </c>
      <c r="X18" s="83"/>
    </row>
    <row r="19" spans="1:24" s="60" customFormat="1" ht="30" customHeight="1">
      <c r="A19" s="90">
        <v>5</v>
      </c>
      <c r="B19" s="88" t="s">
        <v>178</v>
      </c>
      <c r="C19" s="83"/>
      <c r="D19" s="91">
        <f t="shared" si="2"/>
        <v>5.33245</v>
      </c>
      <c r="E19" s="89">
        <v>2.67</v>
      </c>
      <c r="F19" s="83">
        <f t="shared" si="3"/>
        <v>2.035</v>
      </c>
      <c r="G19" s="84">
        <v>0.7</v>
      </c>
      <c r="H19" s="83"/>
      <c r="I19" s="83"/>
      <c r="J19" s="85">
        <f t="shared" si="4"/>
        <v>1.335</v>
      </c>
      <c r="K19" s="83"/>
      <c r="L19" s="83"/>
      <c r="M19" s="83"/>
      <c r="N19" s="83"/>
      <c r="O19" s="83"/>
      <c r="P19" s="83"/>
      <c r="Q19" s="83"/>
      <c r="R19" s="83"/>
      <c r="S19" s="83"/>
      <c r="T19" s="83"/>
      <c r="U19" s="83"/>
      <c r="V19" s="87">
        <f t="shared" si="5"/>
        <v>0.62745</v>
      </c>
      <c r="W19" s="101">
        <f>D19*12*1490000</f>
        <v>95344206</v>
      </c>
      <c r="X19" s="83"/>
    </row>
    <row r="20" spans="1:26" s="60" customFormat="1" ht="30" customHeight="1">
      <c r="A20" s="90"/>
      <c r="B20" s="81" t="s">
        <v>277</v>
      </c>
      <c r="C20" s="83"/>
      <c r="D20" s="91">
        <f t="shared" si="2"/>
        <v>2.8899</v>
      </c>
      <c r="E20" s="82">
        <v>2.34</v>
      </c>
      <c r="F20" s="83">
        <f t="shared" si="3"/>
        <v>0</v>
      </c>
      <c r="G20" s="84"/>
      <c r="H20" s="83"/>
      <c r="I20" s="83"/>
      <c r="J20" s="85"/>
      <c r="K20" s="83"/>
      <c r="L20" s="83"/>
      <c r="M20" s="83"/>
      <c r="N20" s="83"/>
      <c r="O20" s="83"/>
      <c r="P20" s="83"/>
      <c r="Q20" s="83"/>
      <c r="R20" s="83"/>
      <c r="S20" s="83"/>
      <c r="T20" s="83"/>
      <c r="U20" s="83"/>
      <c r="V20" s="87">
        <f t="shared" si="5"/>
        <v>0.5498999999999999</v>
      </c>
      <c r="W20" s="101">
        <f>D20*5*1490000</f>
        <v>21529755</v>
      </c>
      <c r="X20" s="83"/>
      <c r="Z20" s="60">
        <f>W20+W29</f>
        <v>73201167</v>
      </c>
    </row>
    <row r="21" spans="1:24" s="60" customFormat="1" ht="30" customHeight="1">
      <c r="A21" s="90">
        <v>6</v>
      </c>
      <c r="B21" s="81" t="s">
        <v>245</v>
      </c>
      <c r="C21" s="83"/>
      <c r="D21" s="91">
        <f t="shared" si="2"/>
        <v>8.17785</v>
      </c>
      <c r="E21" s="82">
        <v>3.96</v>
      </c>
      <c r="F21" s="83">
        <f t="shared" si="3"/>
        <v>3.2049999999999996</v>
      </c>
      <c r="G21" s="84">
        <v>0.7</v>
      </c>
      <c r="H21" s="83">
        <v>0.35</v>
      </c>
      <c r="I21" s="83"/>
      <c r="J21" s="85">
        <f t="shared" si="4"/>
        <v>2.155</v>
      </c>
      <c r="K21" s="83"/>
      <c r="L21" s="83"/>
      <c r="M21" s="83"/>
      <c r="N21" s="83"/>
      <c r="O21" s="83"/>
      <c r="P21" s="83"/>
      <c r="Q21" s="83"/>
      <c r="R21" s="83"/>
      <c r="S21" s="83"/>
      <c r="T21" s="83"/>
      <c r="U21" s="83"/>
      <c r="V21" s="87">
        <f t="shared" si="5"/>
        <v>1.0128499999999998</v>
      </c>
      <c r="W21" s="101">
        <f>D21*7*1490000</f>
        <v>85294975.5</v>
      </c>
      <c r="X21" s="83"/>
    </row>
    <row r="22" spans="1:24" s="63" customFormat="1" ht="12.75">
      <c r="A22" s="64">
        <v>2</v>
      </c>
      <c r="B22" s="65" t="s">
        <v>243</v>
      </c>
      <c r="C22" s="66"/>
      <c r="D22" s="69">
        <f>D23</f>
        <v>29.81335</v>
      </c>
      <c r="E22" s="69">
        <f aca="true" t="shared" si="6" ref="E22:V22">E23</f>
        <v>15.41</v>
      </c>
      <c r="F22" s="69">
        <f t="shared" si="6"/>
        <v>10.735</v>
      </c>
      <c r="G22" s="69">
        <f t="shared" si="6"/>
        <v>3.5</v>
      </c>
      <c r="H22" s="69">
        <f t="shared" si="6"/>
        <v>0.2</v>
      </c>
      <c r="I22" s="69">
        <f t="shared" si="6"/>
        <v>0</v>
      </c>
      <c r="J22" s="69">
        <f t="shared" si="6"/>
        <v>6.635000000000001</v>
      </c>
      <c r="K22" s="69">
        <f t="shared" si="6"/>
        <v>0</v>
      </c>
      <c r="L22" s="69">
        <f t="shared" si="6"/>
        <v>0</v>
      </c>
      <c r="M22" s="69">
        <f t="shared" si="6"/>
        <v>0</v>
      </c>
      <c r="N22" s="69">
        <f t="shared" si="6"/>
        <v>0</v>
      </c>
      <c r="O22" s="69">
        <f t="shared" si="6"/>
        <v>0</v>
      </c>
      <c r="P22" s="69">
        <f t="shared" si="6"/>
        <v>0</v>
      </c>
      <c r="Q22" s="69">
        <f t="shared" si="6"/>
        <v>0</v>
      </c>
      <c r="R22" s="69">
        <f t="shared" si="6"/>
        <v>0</v>
      </c>
      <c r="S22" s="69">
        <f t="shared" si="6"/>
        <v>0</v>
      </c>
      <c r="T22" s="69">
        <f t="shared" si="6"/>
        <v>0</v>
      </c>
      <c r="U22" s="69">
        <f t="shared" si="6"/>
        <v>0.4</v>
      </c>
      <c r="V22" s="69">
        <f t="shared" si="6"/>
        <v>3.66835</v>
      </c>
      <c r="W22" s="69">
        <f>W23</f>
        <v>523951273.5</v>
      </c>
      <c r="X22" s="107"/>
    </row>
    <row r="23" spans="1:54" s="63" customFormat="1" ht="25.5">
      <c r="A23" s="103" t="s">
        <v>99</v>
      </c>
      <c r="B23" s="104" t="s">
        <v>246</v>
      </c>
      <c r="C23" s="69">
        <v>6</v>
      </c>
      <c r="D23" s="148">
        <f>SUM(D24:D29)</f>
        <v>29.81335</v>
      </c>
      <c r="E23" s="148">
        <f>SUM(E24:E29)</f>
        <v>15.41</v>
      </c>
      <c r="F23" s="148">
        <f>SUM(F24:F29)</f>
        <v>10.735</v>
      </c>
      <c r="G23" s="148">
        <f>SUM(G24:G29)</f>
        <v>3.5</v>
      </c>
      <c r="H23" s="148">
        <f>SUM(H24:H29)</f>
        <v>0.2</v>
      </c>
      <c r="I23" s="148">
        <f aca="true" t="shared" si="7" ref="I23:W23">SUM(I24:I29)</f>
        <v>0</v>
      </c>
      <c r="J23" s="148">
        <f>SUM(J24:J29)</f>
        <v>6.635000000000001</v>
      </c>
      <c r="K23" s="148">
        <f t="shared" si="7"/>
        <v>0</v>
      </c>
      <c r="L23" s="148">
        <f t="shared" si="7"/>
        <v>0</v>
      </c>
      <c r="M23" s="148">
        <f t="shared" si="7"/>
        <v>0</v>
      </c>
      <c r="N23" s="148">
        <f t="shared" si="7"/>
        <v>0</v>
      </c>
      <c r="O23" s="148">
        <f t="shared" si="7"/>
        <v>0</v>
      </c>
      <c r="P23" s="148">
        <f t="shared" si="7"/>
        <v>0</v>
      </c>
      <c r="Q23" s="148">
        <f t="shared" si="7"/>
        <v>0</v>
      </c>
      <c r="R23" s="148">
        <f t="shared" si="7"/>
        <v>0</v>
      </c>
      <c r="S23" s="148">
        <f t="shared" si="7"/>
        <v>0</v>
      </c>
      <c r="T23" s="148">
        <f t="shared" si="7"/>
        <v>0</v>
      </c>
      <c r="U23" s="148">
        <f>SUM(U24:U29)</f>
        <v>0.4</v>
      </c>
      <c r="V23" s="148">
        <f>SUM(V24:V29)</f>
        <v>3.66835</v>
      </c>
      <c r="W23" s="99">
        <f t="shared" si="7"/>
        <v>523951273.5</v>
      </c>
      <c r="X23" s="107"/>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row>
    <row r="24" spans="1:54" s="109" customFormat="1" ht="21.75" customHeight="1">
      <c r="A24" s="110">
        <v>1</v>
      </c>
      <c r="B24" s="106" t="s">
        <v>247</v>
      </c>
      <c r="C24" s="107"/>
      <c r="D24" s="111">
        <f aca="true" t="shared" si="8" ref="D24:D29">E24+F24+V24</f>
        <v>5.53245</v>
      </c>
      <c r="E24" s="108">
        <v>2.67</v>
      </c>
      <c r="F24" s="83">
        <f aca="true" t="shared" si="9" ref="F24:F29">SUM(G24:U24)</f>
        <v>2.2350000000000003</v>
      </c>
      <c r="G24" s="84">
        <v>0.7</v>
      </c>
      <c r="H24" s="87"/>
      <c r="I24" s="107"/>
      <c r="J24" s="85">
        <f>(E24+H24)*50%</f>
        <v>1.335</v>
      </c>
      <c r="K24" s="107"/>
      <c r="L24" s="107"/>
      <c r="M24" s="107"/>
      <c r="N24" s="107"/>
      <c r="O24" s="107"/>
      <c r="P24" s="107"/>
      <c r="Q24" s="107"/>
      <c r="R24" s="107"/>
      <c r="S24" s="107"/>
      <c r="T24" s="107"/>
      <c r="U24" s="87">
        <v>0.2</v>
      </c>
      <c r="V24" s="87">
        <f aca="true" t="shared" si="10" ref="V24:V29">(E24+H24)*23.5%</f>
        <v>0.62745</v>
      </c>
      <c r="W24" s="101">
        <f>(D24*8*1490000)+(4.96*4*1490000)</f>
        <v>95508404</v>
      </c>
      <c r="X24" s="107"/>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row>
    <row r="25" spans="1:54" s="109" customFormat="1" ht="21.75" customHeight="1">
      <c r="A25" s="110">
        <v>2</v>
      </c>
      <c r="B25" s="106" t="s">
        <v>248</v>
      </c>
      <c r="C25" s="107"/>
      <c r="D25" s="111">
        <f t="shared" si="8"/>
        <v>5.67945</v>
      </c>
      <c r="E25" s="108">
        <v>2.67</v>
      </c>
      <c r="F25" s="83">
        <f t="shared" si="9"/>
        <v>2.335</v>
      </c>
      <c r="G25" s="84">
        <v>0.7</v>
      </c>
      <c r="H25" s="87">
        <v>0.2</v>
      </c>
      <c r="I25" s="107"/>
      <c r="J25" s="85">
        <f>(E25+H25)*50%</f>
        <v>1.435</v>
      </c>
      <c r="K25" s="107"/>
      <c r="L25" s="107"/>
      <c r="M25" s="107"/>
      <c r="N25" s="107"/>
      <c r="O25" s="107"/>
      <c r="P25" s="107"/>
      <c r="Q25" s="107"/>
      <c r="R25" s="107"/>
      <c r="S25" s="107"/>
      <c r="T25" s="107"/>
      <c r="U25" s="87"/>
      <c r="V25" s="87">
        <f t="shared" si="10"/>
        <v>0.67445</v>
      </c>
      <c r="W25" s="101">
        <f>(D25*7*1490000)+(4.76*4*1490000)+(5.532*1490000*1)</f>
        <v>95848943.5</v>
      </c>
      <c r="X25" s="107"/>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row>
    <row r="26" spans="1:54" s="109" customFormat="1" ht="21.75" customHeight="1">
      <c r="A26" s="110">
        <v>3</v>
      </c>
      <c r="B26" s="106" t="s">
        <v>249</v>
      </c>
      <c r="C26" s="107"/>
      <c r="D26" s="111">
        <f t="shared" si="8"/>
        <v>4.7599</v>
      </c>
      <c r="E26" s="108">
        <v>2.34</v>
      </c>
      <c r="F26" s="83">
        <f t="shared" si="9"/>
        <v>1.8699999999999999</v>
      </c>
      <c r="G26" s="84">
        <v>0.7</v>
      </c>
      <c r="H26" s="87"/>
      <c r="I26" s="107"/>
      <c r="J26" s="85">
        <f>(E26+H26)*50%</f>
        <v>1.17</v>
      </c>
      <c r="K26" s="107"/>
      <c r="L26" s="107"/>
      <c r="M26" s="107"/>
      <c r="N26" s="107"/>
      <c r="O26" s="107"/>
      <c r="P26" s="107"/>
      <c r="Q26" s="107"/>
      <c r="R26" s="107"/>
      <c r="S26" s="107"/>
      <c r="T26" s="107"/>
      <c r="U26" s="87"/>
      <c r="V26" s="87">
        <f>(E26+H26)*23.5%</f>
        <v>0.5498999999999999</v>
      </c>
      <c r="W26" s="101">
        <f>D26*12*1490000</f>
        <v>85107012</v>
      </c>
      <c r="X26" s="107"/>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row>
    <row r="27" spans="1:54" s="109" customFormat="1" ht="21.75" customHeight="1">
      <c r="A27" s="110">
        <v>4</v>
      </c>
      <c r="B27" s="106" t="s">
        <v>97</v>
      </c>
      <c r="C27" s="107"/>
      <c r="D27" s="111">
        <f t="shared" si="8"/>
        <v>6.47755</v>
      </c>
      <c r="E27" s="108">
        <v>3.33</v>
      </c>
      <c r="F27" s="83">
        <f t="shared" si="9"/>
        <v>2.365</v>
      </c>
      <c r="G27" s="84">
        <v>0.7</v>
      </c>
      <c r="H27" s="87"/>
      <c r="I27" s="107"/>
      <c r="J27" s="85">
        <f>(E27+H27)*50%</f>
        <v>1.665</v>
      </c>
      <c r="K27" s="107"/>
      <c r="L27" s="107"/>
      <c r="M27" s="107"/>
      <c r="N27" s="107"/>
      <c r="O27" s="107"/>
      <c r="P27" s="107"/>
      <c r="Q27" s="107"/>
      <c r="R27" s="107"/>
      <c r="S27" s="107"/>
      <c r="T27" s="107"/>
      <c r="U27" s="87"/>
      <c r="V27" s="87">
        <f>(E27+H27)*23.5%</f>
        <v>0.78255</v>
      </c>
      <c r="W27" s="101">
        <f>D27*12*1490000</f>
        <v>115818594</v>
      </c>
      <c r="X27" s="107"/>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row>
    <row r="28" spans="1:54" s="109" customFormat="1" ht="21.75" customHeight="1">
      <c r="A28" s="110">
        <v>5</v>
      </c>
      <c r="B28" s="106" t="s">
        <v>250</v>
      </c>
      <c r="C28" s="107"/>
      <c r="D28" s="111">
        <f t="shared" si="8"/>
        <v>4.4741</v>
      </c>
      <c r="E28" s="108">
        <v>2.06</v>
      </c>
      <c r="F28" s="83">
        <f t="shared" si="9"/>
        <v>1.93</v>
      </c>
      <c r="G28" s="84">
        <v>0.7</v>
      </c>
      <c r="H28" s="87"/>
      <c r="I28" s="107"/>
      <c r="J28" s="85">
        <f>(E28+H28)*50%</f>
        <v>1.03</v>
      </c>
      <c r="K28" s="107"/>
      <c r="L28" s="107"/>
      <c r="M28" s="107"/>
      <c r="N28" s="107"/>
      <c r="O28" s="107"/>
      <c r="P28" s="107"/>
      <c r="Q28" s="107"/>
      <c r="R28" s="107"/>
      <c r="S28" s="107"/>
      <c r="T28" s="107"/>
      <c r="U28" s="87">
        <v>0.2</v>
      </c>
      <c r="V28" s="87">
        <f>(E28+H28)*23.5%</f>
        <v>0.4841</v>
      </c>
      <c r="W28" s="101">
        <f>D28*12*1490000</f>
        <v>79996908</v>
      </c>
      <c r="X28" s="107"/>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row>
    <row r="29" spans="1:25" s="120" customFormat="1" ht="21.75" customHeight="1">
      <c r="A29" s="133">
        <v>6</v>
      </c>
      <c r="B29" s="134" t="s">
        <v>278</v>
      </c>
      <c r="C29" s="135"/>
      <c r="D29" s="111">
        <f t="shared" si="8"/>
        <v>2.8899</v>
      </c>
      <c r="E29" s="136">
        <v>2.34</v>
      </c>
      <c r="F29" s="83">
        <f t="shared" si="9"/>
        <v>0</v>
      </c>
      <c r="G29" s="137"/>
      <c r="H29" s="138"/>
      <c r="I29" s="135"/>
      <c r="J29" s="85"/>
      <c r="K29" s="135"/>
      <c r="L29" s="135"/>
      <c r="M29" s="135"/>
      <c r="N29" s="135"/>
      <c r="O29" s="135"/>
      <c r="P29" s="135"/>
      <c r="Q29" s="135"/>
      <c r="R29" s="135"/>
      <c r="S29" s="135"/>
      <c r="T29" s="135"/>
      <c r="U29" s="138"/>
      <c r="V29" s="138">
        <f t="shared" si="10"/>
        <v>0.5498999999999999</v>
      </c>
      <c r="W29" s="101">
        <f>D29*12*1490000</f>
        <v>51671411.99999999</v>
      </c>
      <c r="X29" s="135"/>
      <c r="Y29" s="120">
        <f>W20+W29</f>
        <v>73201167</v>
      </c>
    </row>
    <row r="30" spans="1:24" s="63" customFormat="1" ht="12.75">
      <c r="A30" s="64">
        <v>3</v>
      </c>
      <c r="B30" s="65" t="s">
        <v>17</v>
      </c>
      <c r="C30" s="69">
        <v>6</v>
      </c>
      <c r="D30" s="69">
        <f>SUM(D31:D37)</f>
        <v>32.5944</v>
      </c>
      <c r="E30" s="69">
        <f>SUM(E31:E37)</f>
        <v>17.04</v>
      </c>
      <c r="F30" s="69">
        <f aca="true" t="shared" si="11" ref="F30:V30">SUM(F31:F37)</f>
        <v>11.549999999999999</v>
      </c>
      <c r="G30" s="69">
        <f t="shared" si="11"/>
        <v>4.2</v>
      </c>
      <c r="H30" s="69">
        <f t="shared" si="11"/>
        <v>0</v>
      </c>
      <c r="I30" s="69">
        <f t="shared" si="11"/>
        <v>0</v>
      </c>
      <c r="J30" s="69">
        <f t="shared" si="11"/>
        <v>7.35</v>
      </c>
      <c r="K30" s="69">
        <f t="shared" si="11"/>
        <v>0</v>
      </c>
      <c r="L30" s="69">
        <f t="shared" si="11"/>
        <v>0</v>
      </c>
      <c r="M30" s="69">
        <f t="shared" si="11"/>
        <v>0</v>
      </c>
      <c r="N30" s="69">
        <f t="shared" si="11"/>
        <v>0</v>
      </c>
      <c r="O30" s="69">
        <f t="shared" si="11"/>
        <v>0</v>
      </c>
      <c r="P30" s="69">
        <f t="shared" si="11"/>
        <v>0</v>
      </c>
      <c r="Q30" s="69">
        <f t="shared" si="11"/>
        <v>0</v>
      </c>
      <c r="R30" s="69">
        <f t="shared" si="11"/>
        <v>0</v>
      </c>
      <c r="S30" s="69">
        <f t="shared" si="11"/>
        <v>0</v>
      </c>
      <c r="T30" s="69">
        <f t="shared" si="11"/>
        <v>0</v>
      </c>
      <c r="U30" s="69">
        <f t="shared" si="11"/>
        <v>0</v>
      </c>
      <c r="V30" s="69">
        <f t="shared" si="11"/>
        <v>4.0043999999999995</v>
      </c>
      <c r="W30" s="121">
        <f>SUM(W31:W37)</f>
        <v>494268462</v>
      </c>
      <c r="X30" s="69"/>
    </row>
    <row r="31" spans="1:24" s="139" customFormat="1" ht="18.75" customHeight="1">
      <c r="A31" s="149">
        <v>1</v>
      </c>
      <c r="B31" s="150" t="s">
        <v>251</v>
      </c>
      <c r="C31" s="138"/>
      <c r="D31" s="114">
        <f>E31+F31+V31</f>
        <v>4.7599</v>
      </c>
      <c r="E31" s="114">
        <v>2.34</v>
      </c>
      <c r="F31" s="114">
        <f aca="true" t="shared" si="12" ref="F31:F37">SUM(G31:U31)</f>
        <v>1.8699999999999999</v>
      </c>
      <c r="G31" s="138">
        <v>0.7</v>
      </c>
      <c r="H31" s="138"/>
      <c r="I31" s="138"/>
      <c r="J31" s="114">
        <f aca="true" t="shared" si="13" ref="J31:J36">E31*50%</f>
        <v>1.17</v>
      </c>
      <c r="K31" s="138"/>
      <c r="L31" s="138"/>
      <c r="M31" s="138"/>
      <c r="N31" s="138"/>
      <c r="O31" s="138"/>
      <c r="P31" s="138"/>
      <c r="Q31" s="138"/>
      <c r="R31" s="138"/>
      <c r="S31" s="138"/>
      <c r="T31" s="138"/>
      <c r="U31" s="138"/>
      <c r="V31" s="114">
        <f aca="true" t="shared" si="14" ref="V31:V36">E31*23.5%</f>
        <v>0.5498999999999999</v>
      </c>
      <c r="W31" s="138">
        <f>D31*4*1490000</f>
        <v>28369004</v>
      </c>
      <c r="X31" s="138"/>
    </row>
    <row r="32" spans="1:29" s="60" customFormat="1" ht="18.75" customHeight="1">
      <c r="A32" s="112"/>
      <c r="B32" s="113" t="s">
        <v>251</v>
      </c>
      <c r="C32" s="87"/>
      <c r="D32" s="114">
        <f aca="true" t="shared" si="15" ref="D32:D37">E32+F32+V32</f>
        <v>5.33245</v>
      </c>
      <c r="E32" s="114">
        <v>2.67</v>
      </c>
      <c r="F32" s="114">
        <f t="shared" si="12"/>
        <v>2.035</v>
      </c>
      <c r="G32" s="114">
        <v>0.7</v>
      </c>
      <c r="H32" s="114"/>
      <c r="I32" s="114"/>
      <c r="J32" s="114">
        <f t="shared" si="13"/>
        <v>1.335</v>
      </c>
      <c r="K32" s="114"/>
      <c r="L32" s="114"/>
      <c r="M32" s="114"/>
      <c r="N32" s="114"/>
      <c r="O32" s="114"/>
      <c r="P32" s="114"/>
      <c r="Q32" s="114"/>
      <c r="R32" s="114"/>
      <c r="S32" s="114"/>
      <c r="T32" s="114"/>
      <c r="U32" s="114"/>
      <c r="V32" s="114">
        <f t="shared" si="14"/>
        <v>0.62745</v>
      </c>
      <c r="W32" s="115">
        <f>D32*8*1490000</f>
        <v>63562804</v>
      </c>
      <c r="X32" s="114"/>
      <c r="Y32" s="620"/>
      <c r="Z32" s="621"/>
      <c r="AA32" s="621"/>
      <c r="AB32" s="621"/>
      <c r="AC32" s="621"/>
    </row>
    <row r="33" spans="1:24" s="60" customFormat="1" ht="18.75" customHeight="1">
      <c r="A33" s="149">
        <v>3</v>
      </c>
      <c r="B33" s="113" t="s">
        <v>169</v>
      </c>
      <c r="C33" s="116"/>
      <c r="D33" s="114">
        <f t="shared" si="15"/>
        <v>5.33245</v>
      </c>
      <c r="E33" s="114">
        <v>2.67</v>
      </c>
      <c r="F33" s="114">
        <f t="shared" si="12"/>
        <v>2.035</v>
      </c>
      <c r="G33" s="114">
        <v>0.7</v>
      </c>
      <c r="H33" s="117"/>
      <c r="I33" s="117"/>
      <c r="J33" s="114">
        <f t="shared" si="13"/>
        <v>1.335</v>
      </c>
      <c r="K33" s="117"/>
      <c r="L33" s="117"/>
      <c r="M33" s="117"/>
      <c r="N33" s="117"/>
      <c r="O33" s="117"/>
      <c r="P33" s="117"/>
      <c r="Q33" s="117"/>
      <c r="R33" s="117"/>
      <c r="S33" s="117"/>
      <c r="T33" s="117"/>
      <c r="U33" s="117"/>
      <c r="V33" s="114">
        <f t="shared" si="14"/>
        <v>0.62745</v>
      </c>
      <c r="W33" s="115">
        <f>D33*12*1490000</f>
        <v>95344206</v>
      </c>
      <c r="X33" s="118"/>
    </row>
    <row r="34" spans="1:24" s="60" customFormat="1" ht="18.75" customHeight="1">
      <c r="A34" s="112">
        <v>4</v>
      </c>
      <c r="B34" s="113" t="s">
        <v>168</v>
      </c>
      <c r="C34" s="87"/>
      <c r="D34" s="114">
        <f t="shared" si="15"/>
        <v>4.7599</v>
      </c>
      <c r="E34" s="114">
        <v>2.34</v>
      </c>
      <c r="F34" s="114">
        <f t="shared" si="12"/>
        <v>1.8699999999999999</v>
      </c>
      <c r="G34" s="114">
        <v>0.7</v>
      </c>
      <c r="H34" s="87"/>
      <c r="I34" s="87"/>
      <c r="J34" s="114">
        <f t="shared" si="13"/>
        <v>1.17</v>
      </c>
      <c r="K34" s="87"/>
      <c r="L34" s="87"/>
      <c r="M34" s="87"/>
      <c r="N34" s="87"/>
      <c r="O34" s="87"/>
      <c r="P34" s="87"/>
      <c r="Q34" s="87"/>
      <c r="R34" s="87"/>
      <c r="S34" s="87"/>
      <c r="T34" s="87"/>
      <c r="U34" s="87"/>
      <c r="V34" s="114">
        <f t="shared" si="14"/>
        <v>0.5498999999999999</v>
      </c>
      <c r="W34" s="115">
        <f>D34*12*1490000</f>
        <v>85107012</v>
      </c>
      <c r="X34" s="118"/>
    </row>
    <row r="35" spans="1:24" s="60" customFormat="1" ht="18.75" customHeight="1">
      <c r="A35" s="149">
        <v>5</v>
      </c>
      <c r="B35" s="113" t="s">
        <v>167</v>
      </c>
      <c r="C35" s="87"/>
      <c r="D35" s="114">
        <f t="shared" si="15"/>
        <v>4.7599</v>
      </c>
      <c r="E35" s="114">
        <v>2.34</v>
      </c>
      <c r="F35" s="114">
        <f t="shared" si="12"/>
        <v>1.8699999999999999</v>
      </c>
      <c r="G35" s="114">
        <v>0.7</v>
      </c>
      <c r="H35" s="87"/>
      <c r="I35" s="87"/>
      <c r="J35" s="114">
        <f t="shared" si="13"/>
        <v>1.17</v>
      </c>
      <c r="K35" s="87"/>
      <c r="L35" s="87"/>
      <c r="M35" s="87"/>
      <c r="N35" s="87"/>
      <c r="O35" s="87"/>
      <c r="P35" s="87"/>
      <c r="Q35" s="87"/>
      <c r="R35" s="87"/>
      <c r="S35" s="87"/>
      <c r="T35" s="87"/>
      <c r="U35" s="87"/>
      <c r="V35" s="114">
        <f t="shared" si="14"/>
        <v>0.5498999999999999</v>
      </c>
      <c r="W35" s="115">
        <f>D35*12*1490000</f>
        <v>85107012</v>
      </c>
      <c r="X35" s="118"/>
    </row>
    <row r="36" spans="1:24" s="60" customFormat="1" ht="18.75" customHeight="1">
      <c r="A36" s="112">
        <v>6</v>
      </c>
      <c r="B36" s="119" t="s">
        <v>252</v>
      </c>
      <c r="C36" s="87"/>
      <c r="D36" s="114">
        <f t="shared" si="15"/>
        <v>4.7599</v>
      </c>
      <c r="E36" s="114">
        <v>2.34</v>
      </c>
      <c r="F36" s="114">
        <f t="shared" si="12"/>
        <v>1.8699999999999999</v>
      </c>
      <c r="G36" s="114">
        <v>0.7</v>
      </c>
      <c r="H36" s="87"/>
      <c r="I36" s="87"/>
      <c r="J36" s="114">
        <f t="shared" si="13"/>
        <v>1.17</v>
      </c>
      <c r="K36" s="87"/>
      <c r="L36" s="87"/>
      <c r="M36" s="87"/>
      <c r="N36" s="87"/>
      <c r="O36" s="87"/>
      <c r="P36" s="87"/>
      <c r="Q36" s="87"/>
      <c r="R36" s="87"/>
      <c r="S36" s="87"/>
      <c r="T36" s="87"/>
      <c r="U36" s="87"/>
      <c r="V36" s="114">
        <f t="shared" si="14"/>
        <v>0.5498999999999999</v>
      </c>
      <c r="W36" s="115">
        <f>D36*12*1490000</f>
        <v>85107012</v>
      </c>
      <c r="X36" s="118"/>
    </row>
    <row r="37" spans="1:24" s="60" customFormat="1" ht="18.75" customHeight="1">
      <c r="A37" s="149">
        <v>7</v>
      </c>
      <c r="B37" s="119" t="s">
        <v>253</v>
      </c>
      <c r="C37" s="87"/>
      <c r="D37" s="114">
        <f t="shared" si="15"/>
        <v>2.8899</v>
      </c>
      <c r="E37" s="87">
        <v>2.34</v>
      </c>
      <c r="F37" s="114">
        <f t="shared" si="12"/>
        <v>0</v>
      </c>
      <c r="G37" s="87"/>
      <c r="H37" s="87"/>
      <c r="I37" s="87"/>
      <c r="J37" s="87"/>
      <c r="K37" s="87"/>
      <c r="L37" s="87"/>
      <c r="M37" s="87"/>
      <c r="N37" s="87"/>
      <c r="O37" s="87"/>
      <c r="P37" s="87"/>
      <c r="Q37" s="87"/>
      <c r="R37" s="87"/>
      <c r="S37" s="87"/>
      <c r="T37" s="87"/>
      <c r="U37" s="87"/>
      <c r="V37" s="114">
        <f>E37*23.5%</f>
        <v>0.5498999999999999</v>
      </c>
      <c r="W37" s="115">
        <f>D37*12*1490000</f>
        <v>51671411.99999999</v>
      </c>
      <c r="X37" s="118"/>
    </row>
    <row r="38" spans="1:24" s="63" customFormat="1" ht="30" customHeight="1">
      <c r="A38" s="64">
        <v>4</v>
      </c>
      <c r="B38" s="126" t="s">
        <v>163</v>
      </c>
      <c r="C38" s="66"/>
      <c r="D38" s="66">
        <f aca="true" t="shared" si="16" ref="D38:W38">D39+D55+D63+D70+D77+D86+D82</f>
        <v>303.786</v>
      </c>
      <c r="E38" s="66">
        <f t="shared" si="16"/>
        <v>138.46</v>
      </c>
      <c r="F38" s="66">
        <f t="shared" si="16"/>
        <v>132.485</v>
      </c>
      <c r="G38" s="66">
        <f t="shared" si="16"/>
        <v>23.799999999999997</v>
      </c>
      <c r="H38" s="66">
        <f t="shared" si="16"/>
        <v>7.500000000000001</v>
      </c>
      <c r="I38" s="66">
        <f t="shared" si="16"/>
        <v>0</v>
      </c>
      <c r="J38" s="66">
        <f t="shared" si="16"/>
        <v>65.96</v>
      </c>
      <c r="K38" s="66">
        <f t="shared" si="16"/>
        <v>0</v>
      </c>
      <c r="L38" s="66">
        <f t="shared" si="16"/>
        <v>0</v>
      </c>
      <c r="M38" s="66">
        <f t="shared" si="16"/>
        <v>0</v>
      </c>
      <c r="N38" s="66">
        <f t="shared" si="16"/>
        <v>32.98</v>
      </c>
      <c r="O38" s="66">
        <f t="shared" si="16"/>
        <v>0</v>
      </c>
      <c r="P38" s="66">
        <f t="shared" si="16"/>
        <v>0</v>
      </c>
      <c r="Q38" s="66">
        <f t="shared" si="16"/>
        <v>0.6</v>
      </c>
      <c r="R38" s="66">
        <f t="shared" si="16"/>
        <v>0</v>
      </c>
      <c r="S38" s="66">
        <f t="shared" si="16"/>
        <v>0</v>
      </c>
      <c r="T38" s="66">
        <f t="shared" si="16"/>
        <v>0.4850000000000001</v>
      </c>
      <c r="U38" s="66">
        <f t="shared" si="16"/>
        <v>1.16</v>
      </c>
      <c r="V38" s="66">
        <f t="shared" si="16"/>
        <v>32.841</v>
      </c>
      <c r="W38" s="66">
        <f t="shared" si="16"/>
        <v>4747180030</v>
      </c>
      <c r="X38" s="66"/>
    </row>
    <row r="39" spans="1:24" s="74" customFormat="1" ht="12.75">
      <c r="A39" s="67" t="s">
        <v>254</v>
      </c>
      <c r="B39" s="68" t="s">
        <v>161</v>
      </c>
      <c r="C39" s="69"/>
      <c r="D39" s="69">
        <f>D40</f>
        <v>82.86</v>
      </c>
      <c r="E39" s="69">
        <f aca="true" t="shared" si="17" ref="E39:V39">E40</f>
        <v>34.400000000000006</v>
      </c>
      <c r="F39" s="69">
        <f t="shared" si="17"/>
        <v>39.82</v>
      </c>
      <c r="G39" s="69">
        <f t="shared" si="17"/>
        <v>6.300000000000001</v>
      </c>
      <c r="H39" s="69">
        <f t="shared" si="17"/>
        <v>4.000000000000001</v>
      </c>
      <c r="I39" s="69">
        <f t="shared" si="17"/>
        <v>0</v>
      </c>
      <c r="J39" s="69">
        <f t="shared" si="17"/>
        <v>19.2</v>
      </c>
      <c r="K39" s="69">
        <f t="shared" si="17"/>
        <v>0</v>
      </c>
      <c r="L39" s="69">
        <f t="shared" si="17"/>
        <v>0</v>
      </c>
      <c r="M39" s="69">
        <f t="shared" si="17"/>
        <v>0</v>
      </c>
      <c r="N39" s="69">
        <f t="shared" si="17"/>
        <v>9.6</v>
      </c>
      <c r="O39" s="69">
        <f t="shared" si="17"/>
        <v>0</v>
      </c>
      <c r="P39" s="69">
        <f t="shared" si="17"/>
        <v>0</v>
      </c>
      <c r="Q39" s="69">
        <f t="shared" si="17"/>
        <v>0</v>
      </c>
      <c r="R39" s="69">
        <f t="shared" si="17"/>
        <v>0</v>
      </c>
      <c r="S39" s="69">
        <f t="shared" si="17"/>
        <v>0</v>
      </c>
      <c r="T39" s="69">
        <f t="shared" si="17"/>
        <v>0</v>
      </c>
      <c r="U39" s="69">
        <f t="shared" si="17"/>
        <v>0.72</v>
      </c>
      <c r="V39" s="69">
        <f t="shared" si="17"/>
        <v>8.64</v>
      </c>
      <c r="W39" s="99">
        <f>W40+W50</f>
        <v>1325507152.5</v>
      </c>
      <c r="X39" s="69"/>
    </row>
    <row r="40" spans="1:25" s="74" customFormat="1" ht="12.75">
      <c r="A40" s="67"/>
      <c r="B40" s="68" t="s">
        <v>86</v>
      </c>
      <c r="C40" s="69">
        <v>6</v>
      </c>
      <c r="D40" s="140">
        <f aca="true" t="shared" si="18" ref="D40:V40">SUM(D41:D49)</f>
        <v>82.86</v>
      </c>
      <c r="E40" s="140">
        <f>SUM(E41:E49)</f>
        <v>34.400000000000006</v>
      </c>
      <c r="F40" s="140">
        <f t="shared" si="18"/>
        <v>39.82</v>
      </c>
      <c r="G40" s="140">
        <f t="shared" si="18"/>
        <v>6.300000000000001</v>
      </c>
      <c r="H40" s="140">
        <f t="shared" si="18"/>
        <v>4.000000000000001</v>
      </c>
      <c r="I40" s="140">
        <f t="shared" si="18"/>
        <v>0</v>
      </c>
      <c r="J40" s="140">
        <f t="shared" si="18"/>
        <v>19.2</v>
      </c>
      <c r="K40" s="140">
        <f t="shared" si="18"/>
        <v>0</v>
      </c>
      <c r="L40" s="140">
        <f t="shared" si="18"/>
        <v>0</v>
      </c>
      <c r="M40" s="140">
        <f t="shared" si="18"/>
        <v>0</v>
      </c>
      <c r="N40" s="140">
        <f t="shared" si="18"/>
        <v>9.6</v>
      </c>
      <c r="O40" s="140">
        <f t="shared" si="18"/>
        <v>0</v>
      </c>
      <c r="P40" s="140">
        <f t="shared" si="18"/>
        <v>0</v>
      </c>
      <c r="Q40" s="140">
        <f t="shared" si="18"/>
        <v>0</v>
      </c>
      <c r="R40" s="140">
        <f t="shared" si="18"/>
        <v>0</v>
      </c>
      <c r="S40" s="140">
        <f t="shared" si="18"/>
        <v>0</v>
      </c>
      <c r="T40" s="140">
        <f t="shared" si="18"/>
        <v>0</v>
      </c>
      <c r="U40" s="140">
        <f t="shared" si="18"/>
        <v>0.72</v>
      </c>
      <c r="V40" s="140">
        <f t="shared" si="18"/>
        <v>8.64</v>
      </c>
      <c r="W40" s="140">
        <f>SUM(W41:W49)</f>
        <v>1043927152.5</v>
      </c>
      <c r="X40" s="69">
        <f>SUM(X41:X48)</f>
        <v>0</v>
      </c>
      <c r="Y40" s="141">
        <f>W40-'[1]sheet2'!$Y$266</f>
        <v>-70537847.5</v>
      </c>
    </row>
    <row r="41" spans="1:24" s="75" customFormat="1" ht="12.75">
      <c r="A41" s="72">
        <v>1</v>
      </c>
      <c r="B41" s="73" t="s">
        <v>54</v>
      </c>
      <c r="C41" s="70"/>
      <c r="D41" s="70">
        <f aca="true" t="shared" si="19" ref="D41:D49">E41+F41+V41</f>
        <v>12.1155</v>
      </c>
      <c r="E41" s="151">
        <v>5.08</v>
      </c>
      <c r="F41" s="70">
        <f aca="true" t="shared" si="20" ref="F41:F48">SUM(G41:U41)</f>
        <v>5.735</v>
      </c>
      <c r="G41" s="70">
        <v>0.7</v>
      </c>
      <c r="H41" s="70">
        <v>0.7</v>
      </c>
      <c r="I41" s="70"/>
      <c r="J41" s="70">
        <f aca="true" t="shared" si="21" ref="J41:J49">0.5*(E41+H41)</f>
        <v>2.89</v>
      </c>
      <c r="K41" s="70"/>
      <c r="L41" s="70"/>
      <c r="M41" s="70"/>
      <c r="N41" s="70">
        <f aca="true" t="shared" si="22" ref="N41:N49">0.25*(E41+H41)</f>
        <v>1.445</v>
      </c>
      <c r="O41" s="70"/>
      <c r="P41" s="70"/>
      <c r="Q41" s="70"/>
      <c r="R41" s="70"/>
      <c r="S41" s="70"/>
      <c r="T41" s="70"/>
      <c r="U41" s="70"/>
      <c r="V41" s="70">
        <f aca="true" t="shared" si="23" ref="V41:V49">(E41+H41)*22.5%</f>
        <v>1.3005</v>
      </c>
      <c r="W41" s="122">
        <f>D41*1490000*12</f>
        <v>216625140</v>
      </c>
      <c r="X41" s="70" t="s">
        <v>255</v>
      </c>
    </row>
    <row r="42" spans="1:25" s="75" customFormat="1" ht="12.75">
      <c r="A42" s="72">
        <v>2</v>
      </c>
      <c r="B42" s="73" t="s">
        <v>46</v>
      </c>
      <c r="C42" s="70"/>
      <c r="D42" s="70">
        <f t="shared" si="19"/>
        <v>9.1135</v>
      </c>
      <c r="E42" s="70">
        <v>3.66</v>
      </c>
      <c r="F42" s="70">
        <f t="shared" si="20"/>
        <v>4.494999999999999</v>
      </c>
      <c r="G42" s="70">
        <v>0.7</v>
      </c>
      <c r="H42" s="70">
        <v>0.6</v>
      </c>
      <c r="I42" s="70"/>
      <c r="J42" s="70">
        <f t="shared" si="21"/>
        <v>2.13</v>
      </c>
      <c r="K42" s="70"/>
      <c r="L42" s="70"/>
      <c r="M42" s="70"/>
      <c r="N42" s="70">
        <f t="shared" si="22"/>
        <v>1.065</v>
      </c>
      <c r="O42" s="70"/>
      <c r="P42" s="70"/>
      <c r="Q42" s="70"/>
      <c r="R42" s="70"/>
      <c r="S42" s="70"/>
      <c r="T42" s="70"/>
      <c r="U42" s="70"/>
      <c r="V42" s="70">
        <f t="shared" si="23"/>
        <v>0.9585</v>
      </c>
      <c r="W42" s="122">
        <f>D42*1490000*3</f>
        <v>40737345</v>
      </c>
      <c r="X42" s="70" t="s">
        <v>256</v>
      </c>
      <c r="Y42" s="212">
        <f>'Lương đầu năm'!E44-'Chi tiết'!D42</f>
        <v>6.162000000000001</v>
      </c>
    </row>
    <row r="43" spans="1:25" s="75" customFormat="1" ht="12.75">
      <c r="A43" s="72"/>
      <c r="B43" s="73" t="s">
        <v>46</v>
      </c>
      <c r="C43" s="70"/>
      <c r="D43" s="70">
        <f t="shared" si="19"/>
        <v>9.76525</v>
      </c>
      <c r="E43" s="151">
        <v>3.99</v>
      </c>
      <c r="F43" s="70">
        <f t="shared" si="20"/>
        <v>4.7425</v>
      </c>
      <c r="G43" s="70">
        <v>0.7</v>
      </c>
      <c r="H43" s="70">
        <v>0.6</v>
      </c>
      <c r="I43" s="70"/>
      <c r="J43" s="70">
        <f t="shared" si="21"/>
        <v>2.295</v>
      </c>
      <c r="K43" s="70"/>
      <c r="L43" s="70"/>
      <c r="M43" s="70"/>
      <c r="N43" s="70">
        <f t="shared" si="22"/>
        <v>1.1475</v>
      </c>
      <c r="O43" s="70"/>
      <c r="P43" s="70"/>
      <c r="Q43" s="70"/>
      <c r="R43" s="70"/>
      <c r="S43" s="70"/>
      <c r="T43" s="70"/>
      <c r="U43" s="70"/>
      <c r="V43" s="70">
        <f t="shared" si="23"/>
        <v>1.03275</v>
      </c>
      <c r="W43" s="122">
        <f>D43*1490000*9</f>
        <v>130952002.5</v>
      </c>
      <c r="X43" s="70" t="s">
        <v>257</v>
      </c>
      <c r="Y43" s="75">
        <f>Y42/2</f>
        <v>3.0810000000000004</v>
      </c>
    </row>
    <row r="44" spans="1:25" s="75" customFormat="1" ht="12.75">
      <c r="A44" s="72">
        <v>3</v>
      </c>
      <c r="B44" s="73" t="s">
        <v>160</v>
      </c>
      <c r="C44" s="70"/>
      <c r="D44" s="70">
        <f t="shared" si="19"/>
        <v>9.76525</v>
      </c>
      <c r="E44" s="70">
        <v>3.99</v>
      </c>
      <c r="F44" s="70">
        <f t="shared" si="20"/>
        <v>4.7425</v>
      </c>
      <c r="G44" s="70">
        <v>0.7</v>
      </c>
      <c r="H44" s="70">
        <v>0.6</v>
      </c>
      <c r="I44" s="70"/>
      <c r="J44" s="70">
        <f t="shared" si="21"/>
        <v>2.295</v>
      </c>
      <c r="K44" s="70"/>
      <c r="L44" s="70"/>
      <c r="M44" s="70"/>
      <c r="N44" s="70">
        <f t="shared" si="22"/>
        <v>1.1475</v>
      </c>
      <c r="O44" s="70"/>
      <c r="P44" s="70"/>
      <c r="Q44" s="70"/>
      <c r="R44" s="70"/>
      <c r="S44" s="70"/>
      <c r="T44" s="70"/>
      <c r="U44" s="70"/>
      <c r="V44" s="70">
        <f t="shared" si="23"/>
        <v>1.03275</v>
      </c>
      <c r="W44" s="122">
        <f>D44*1490000*12</f>
        <v>174602670</v>
      </c>
      <c r="X44" s="70" t="s">
        <v>255</v>
      </c>
      <c r="Y44" s="75">
        <f>Y43*1490000*12</f>
        <v>55088280.000000015</v>
      </c>
    </row>
    <row r="45" spans="1:24" s="75" customFormat="1" ht="12.75">
      <c r="A45" s="72">
        <v>4</v>
      </c>
      <c r="B45" s="73" t="s">
        <v>45</v>
      </c>
      <c r="C45" s="70"/>
      <c r="D45" s="70">
        <f t="shared" si="19"/>
        <v>10.854500000000002</v>
      </c>
      <c r="E45" s="70">
        <v>4.32</v>
      </c>
      <c r="F45" s="70">
        <f t="shared" si="20"/>
        <v>5.405</v>
      </c>
      <c r="G45" s="70">
        <v>0.7</v>
      </c>
      <c r="H45" s="70">
        <v>0.7</v>
      </c>
      <c r="I45" s="70"/>
      <c r="J45" s="70">
        <f t="shared" si="21"/>
        <v>2.5100000000000002</v>
      </c>
      <c r="K45" s="70"/>
      <c r="L45" s="70"/>
      <c r="M45" s="70"/>
      <c r="N45" s="70">
        <f t="shared" si="22"/>
        <v>1.2550000000000001</v>
      </c>
      <c r="O45" s="70"/>
      <c r="P45" s="70"/>
      <c r="Q45" s="70"/>
      <c r="R45" s="70"/>
      <c r="S45" s="70"/>
      <c r="T45" s="70"/>
      <c r="U45" s="70">
        <v>0.24</v>
      </c>
      <c r="V45" s="70">
        <f t="shared" si="23"/>
        <v>1.1295000000000002</v>
      </c>
      <c r="W45" s="122">
        <f>D45*1490000*12</f>
        <v>194078460.00000003</v>
      </c>
      <c r="X45" s="70" t="s">
        <v>255</v>
      </c>
    </row>
    <row r="46" spans="1:24" s="75" customFormat="1" ht="12.75">
      <c r="A46" s="72">
        <v>5</v>
      </c>
      <c r="B46" s="73" t="s">
        <v>72</v>
      </c>
      <c r="C46" s="70"/>
      <c r="D46" s="70">
        <f t="shared" si="19"/>
        <v>7.319249999999999</v>
      </c>
      <c r="E46" s="70">
        <v>3.03</v>
      </c>
      <c r="F46" s="70">
        <f t="shared" si="20"/>
        <v>3.5625</v>
      </c>
      <c r="G46" s="70">
        <v>0.7</v>
      </c>
      <c r="H46" s="70">
        <v>0.2</v>
      </c>
      <c r="I46" s="70"/>
      <c r="J46" s="70">
        <f t="shared" si="21"/>
        <v>1.615</v>
      </c>
      <c r="K46" s="70"/>
      <c r="L46" s="70"/>
      <c r="M46" s="70"/>
      <c r="N46" s="70">
        <f t="shared" si="22"/>
        <v>0.8075</v>
      </c>
      <c r="O46" s="70"/>
      <c r="P46" s="70"/>
      <c r="Q46" s="70"/>
      <c r="R46" s="70"/>
      <c r="S46" s="70"/>
      <c r="T46" s="70"/>
      <c r="U46" s="70">
        <v>0.24</v>
      </c>
      <c r="V46" s="70">
        <f t="shared" si="23"/>
        <v>0.72675</v>
      </c>
      <c r="W46" s="122">
        <f>D46*1490000*3</f>
        <v>32717047.499999993</v>
      </c>
      <c r="X46" s="70" t="s">
        <v>256</v>
      </c>
    </row>
    <row r="47" spans="1:24" s="75" customFormat="1" ht="12.75">
      <c r="A47" s="72"/>
      <c r="B47" s="73" t="s">
        <v>72</v>
      </c>
      <c r="C47" s="70"/>
      <c r="D47" s="70">
        <f t="shared" si="19"/>
        <v>7.9315</v>
      </c>
      <c r="E47" s="151">
        <v>3.34</v>
      </c>
      <c r="F47" s="70">
        <f t="shared" si="20"/>
        <v>3.795</v>
      </c>
      <c r="G47" s="70">
        <v>0.7</v>
      </c>
      <c r="H47" s="70">
        <v>0.2</v>
      </c>
      <c r="I47" s="70"/>
      <c r="J47" s="70">
        <f t="shared" si="21"/>
        <v>1.77</v>
      </c>
      <c r="K47" s="70"/>
      <c r="L47" s="70"/>
      <c r="M47" s="70"/>
      <c r="N47" s="70">
        <f t="shared" si="22"/>
        <v>0.885</v>
      </c>
      <c r="O47" s="70"/>
      <c r="P47" s="70"/>
      <c r="Q47" s="70"/>
      <c r="R47" s="70"/>
      <c r="S47" s="70"/>
      <c r="T47" s="70"/>
      <c r="U47" s="70">
        <v>0.24</v>
      </c>
      <c r="V47" s="70">
        <f t="shared" si="23"/>
        <v>0.7965</v>
      </c>
      <c r="W47" s="122">
        <f>D47*1490000*9</f>
        <v>106361415</v>
      </c>
      <c r="X47" s="70" t="s">
        <v>257</v>
      </c>
    </row>
    <row r="48" spans="1:24" s="75" customFormat="1" ht="12.75">
      <c r="A48" s="72">
        <v>6</v>
      </c>
      <c r="B48" s="73" t="s">
        <v>67</v>
      </c>
      <c r="C48" s="70"/>
      <c r="D48" s="70">
        <f t="shared" si="19"/>
        <v>7.67175</v>
      </c>
      <c r="E48" s="70">
        <v>3.33</v>
      </c>
      <c r="F48" s="70">
        <f t="shared" si="20"/>
        <v>3.5475000000000003</v>
      </c>
      <c r="G48" s="70">
        <v>0.7</v>
      </c>
      <c r="H48" s="70">
        <v>0.2</v>
      </c>
      <c r="I48" s="70"/>
      <c r="J48" s="70">
        <f t="shared" si="21"/>
        <v>1.7650000000000001</v>
      </c>
      <c r="K48" s="70"/>
      <c r="L48" s="70"/>
      <c r="M48" s="70"/>
      <c r="N48" s="70">
        <f t="shared" si="22"/>
        <v>0.8825000000000001</v>
      </c>
      <c r="O48" s="70"/>
      <c r="P48" s="70"/>
      <c r="Q48" s="70"/>
      <c r="R48" s="70"/>
      <c r="S48" s="70"/>
      <c r="T48" s="70"/>
      <c r="U48" s="70"/>
      <c r="V48" s="70">
        <f t="shared" si="23"/>
        <v>0.7942500000000001</v>
      </c>
      <c r="W48" s="122">
        <f>D48*1490000*1</f>
        <v>11430907.5</v>
      </c>
      <c r="X48" s="70" t="s">
        <v>258</v>
      </c>
    </row>
    <row r="49" spans="1:24" s="75" customFormat="1" ht="12.75">
      <c r="A49" s="72"/>
      <c r="B49" s="73" t="s">
        <v>67</v>
      </c>
      <c r="C49" s="70"/>
      <c r="D49" s="70">
        <f t="shared" si="19"/>
        <v>8.3235</v>
      </c>
      <c r="E49" s="151">
        <v>3.66</v>
      </c>
      <c r="F49" s="70">
        <f>SUM(G49:U49)</f>
        <v>3.795</v>
      </c>
      <c r="G49" s="70">
        <v>0.7</v>
      </c>
      <c r="H49" s="70">
        <v>0.2</v>
      </c>
      <c r="I49" s="70"/>
      <c r="J49" s="70">
        <f t="shared" si="21"/>
        <v>1.9300000000000002</v>
      </c>
      <c r="K49" s="70"/>
      <c r="L49" s="70"/>
      <c r="M49" s="70"/>
      <c r="N49" s="70">
        <f t="shared" si="22"/>
        <v>0.9650000000000001</v>
      </c>
      <c r="O49" s="70"/>
      <c r="P49" s="70"/>
      <c r="Q49" s="70"/>
      <c r="R49" s="70"/>
      <c r="S49" s="70"/>
      <c r="T49" s="70"/>
      <c r="U49" s="70"/>
      <c r="V49" s="70">
        <f t="shared" si="23"/>
        <v>0.8685</v>
      </c>
      <c r="W49" s="122">
        <f>D49*1490000*11</f>
        <v>136422164.99999997</v>
      </c>
      <c r="X49" s="70" t="s">
        <v>259</v>
      </c>
    </row>
    <row r="50" spans="1:24" s="75" customFormat="1" ht="12.75">
      <c r="A50" s="72"/>
      <c r="B50" s="142" t="s">
        <v>282</v>
      </c>
      <c r="C50" s="70"/>
      <c r="D50" s="70"/>
      <c r="E50" s="70"/>
      <c r="F50" s="70"/>
      <c r="G50" s="70"/>
      <c r="H50" s="70"/>
      <c r="I50" s="70"/>
      <c r="J50" s="70"/>
      <c r="K50" s="70"/>
      <c r="L50" s="70"/>
      <c r="M50" s="70"/>
      <c r="N50" s="70"/>
      <c r="O50" s="70"/>
      <c r="P50" s="70"/>
      <c r="Q50" s="70"/>
      <c r="R50" s="70"/>
      <c r="S50" s="70"/>
      <c r="T50" s="70"/>
      <c r="U50" s="70"/>
      <c r="V50" s="70"/>
      <c r="W50" s="143">
        <f>SUM(W51:W53)</f>
        <v>281580000</v>
      </c>
      <c r="X50" s="70"/>
    </row>
    <row r="51" spans="1:24" s="75" customFormat="1" ht="12.75">
      <c r="A51" s="72">
        <v>7</v>
      </c>
      <c r="B51" s="124" t="s">
        <v>283</v>
      </c>
      <c r="C51" s="70"/>
      <c r="D51" s="70"/>
      <c r="E51" s="70"/>
      <c r="F51" s="70"/>
      <c r="G51" s="70"/>
      <c r="H51" s="70"/>
      <c r="I51" s="70"/>
      <c r="J51" s="70"/>
      <c r="K51" s="70"/>
      <c r="L51" s="70"/>
      <c r="M51" s="70"/>
      <c r="N51" s="70"/>
      <c r="O51" s="70"/>
      <c r="P51" s="70"/>
      <c r="Q51" s="70"/>
      <c r="R51" s="70"/>
      <c r="S51" s="70"/>
      <c r="T51" s="70"/>
      <c r="U51" s="70"/>
      <c r="V51" s="70"/>
      <c r="W51" s="122">
        <v>108186000</v>
      </c>
      <c r="X51" s="70" t="s">
        <v>255</v>
      </c>
    </row>
    <row r="52" spans="1:25" s="75" customFormat="1" ht="12.75">
      <c r="A52" s="72">
        <v>8</v>
      </c>
      <c r="B52" s="124" t="s">
        <v>284</v>
      </c>
      <c r="C52" s="70"/>
      <c r="D52" s="70"/>
      <c r="E52" s="70"/>
      <c r="F52" s="70"/>
      <c r="G52" s="70"/>
      <c r="H52" s="70"/>
      <c r="I52" s="70"/>
      <c r="J52" s="70"/>
      <c r="K52" s="70"/>
      <c r="L52" s="70"/>
      <c r="M52" s="70"/>
      <c r="N52" s="70"/>
      <c r="O52" s="70"/>
      <c r="P52" s="70"/>
      <c r="Q52" s="70"/>
      <c r="R52" s="70"/>
      <c r="S52" s="70"/>
      <c r="T52" s="70"/>
      <c r="U52" s="70"/>
      <c r="V52" s="70"/>
      <c r="W52" s="122">
        <v>108186000</v>
      </c>
      <c r="X52" s="70" t="s">
        <v>255</v>
      </c>
      <c r="Y52" s="144">
        <f>W52/12</f>
        <v>9015500</v>
      </c>
    </row>
    <row r="53" spans="1:25" s="144" customFormat="1" ht="12.75">
      <c r="A53" s="100">
        <v>9</v>
      </c>
      <c r="B53" s="145" t="s">
        <v>285</v>
      </c>
      <c r="C53" s="146"/>
      <c r="D53" s="70"/>
      <c r="E53" s="146"/>
      <c r="F53" s="146"/>
      <c r="G53" s="146"/>
      <c r="H53" s="146"/>
      <c r="I53" s="146"/>
      <c r="J53" s="146"/>
      <c r="K53" s="146"/>
      <c r="L53" s="146"/>
      <c r="M53" s="146" t="s">
        <v>332</v>
      </c>
      <c r="N53" s="146"/>
      <c r="O53" s="146"/>
      <c r="P53" s="146"/>
      <c r="Q53" s="146"/>
      <c r="R53" s="146"/>
      <c r="S53" s="146"/>
      <c r="T53" s="146"/>
      <c r="U53" s="146"/>
      <c r="V53" s="146"/>
      <c r="W53" s="122">
        <v>65208000</v>
      </c>
      <c r="X53" s="70" t="s">
        <v>255</v>
      </c>
      <c r="Y53" s="144">
        <f>W53/12</f>
        <v>5434000</v>
      </c>
    </row>
    <row r="54" spans="1:24" s="75" customFormat="1" ht="12.75">
      <c r="A54" s="72"/>
      <c r="B54" s="73"/>
      <c r="C54" s="70"/>
      <c r="D54" s="70"/>
      <c r="E54" s="70"/>
      <c r="F54" s="70"/>
      <c r="G54" s="70"/>
      <c r="H54" s="70"/>
      <c r="I54" s="70"/>
      <c r="J54" s="70"/>
      <c r="K54" s="70"/>
      <c r="L54" s="70"/>
      <c r="M54" s="70"/>
      <c r="N54" s="70"/>
      <c r="O54" s="70"/>
      <c r="P54" s="70"/>
      <c r="Q54" s="70"/>
      <c r="R54" s="70"/>
      <c r="S54" s="70"/>
      <c r="T54" s="70"/>
      <c r="U54" s="70"/>
      <c r="V54" s="70"/>
      <c r="W54" s="122"/>
      <c r="X54" s="70"/>
    </row>
    <row r="55" spans="1:24" s="74" customFormat="1" ht="12.75">
      <c r="A55" s="156" t="s">
        <v>260</v>
      </c>
      <c r="B55" s="123" t="s">
        <v>261</v>
      </c>
      <c r="C55" s="157">
        <v>7</v>
      </c>
      <c r="D55" s="157">
        <f>SUM(D56:D62)</f>
        <v>46.22474999999999</v>
      </c>
      <c r="E55" s="157">
        <f>SUM(E56:E62)</f>
        <v>23.110000000000003</v>
      </c>
      <c r="F55" s="157">
        <f>SUM(F56:F62)</f>
        <v>17.8475</v>
      </c>
      <c r="G55" s="157">
        <f>SUM(G56:G62)</f>
        <v>3.5</v>
      </c>
      <c r="H55" s="157">
        <f aca="true" t="shared" si="24" ref="H55:V55">SUM(H56:H62)</f>
        <v>0.3</v>
      </c>
      <c r="I55" s="157">
        <f t="shared" si="24"/>
        <v>0</v>
      </c>
      <c r="J55" s="157">
        <f t="shared" si="24"/>
        <v>9.364999999999998</v>
      </c>
      <c r="K55" s="157">
        <f t="shared" si="24"/>
        <v>0</v>
      </c>
      <c r="L55" s="157">
        <f t="shared" si="24"/>
        <v>0</v>
      </c>
      <c r="M55" s="157">
        <f t="shared" si="24"/>
        <v>0</v>
      </c>
      <c r="N55" s="157">
        <f t="shared" si="24"/>
        <v>4.682499999999999</v>
      </c>
      <c r="O55" s="157">
        <f t="shared" si="24"/>
        <v>0</v>
      </c>
      <c r="P55" s="157">
        <f t="shared" si="24"/>
        <v>0</v>
      </c>
      <c r="Q55" s="157">
        <f t="shared" si="24"/>
        <v>0</v>
      </c>
      <c r="R55" s="157">
        <f t="shared" si="24"/>
        <v>0</v>
      </c>
      <c r="S55" s="157">
        <f t="shared" si="24"/>
        <v>0</v>
      </c>
      <c r="T55" s="157">
        <f t="shared" si="24"/>
        <v>0</v>
      </c>
      <c r="U55" s="157">
        <f t="shared" si="24"/>
        <v>0</v>
      </c>
      <c r="V55" s="157">
        <f t="shared" si="24"/>
        <v>5.267250000000001</v>
      </c>
      <c r="W55" s="158">
        <f>SUM(W56:W62)</f>
        <v>760613710</v>
      </c>
      <c r="X55" s="157"/>
    </row>
    <row r="56" spans="1:75" ht="15">
      <c r="A56" s="159">
        <v>1</v>
      </c>
      <c r="B56" s="160" t="s">
        <v>42</v>
      </c>
      <c r="C56" s="161"/>
      <c r="D56" s="161">
        <f aca="true" t="shared" si="25" ref="D56:D62">E56+F56+V56</f>
        <v>13.339999999999998</v>
      </c>
      <c r="E56" s="162">
        <v>6.1</v>
      </c>
      <c r="F56" s="71">
        <f aca="true" t="shared" si="26" ref="F56:F62">SUM(G56:U56)</f>
        <v>5.799999999999999</v>
      </c>
      <c r="G56" s="161">
        <v>0.7</v>
      </c>
      <c r="H56" s="161">
        <v>0.3</v>
      </c>
      <c r="I56" s="161"/>
      <c r="J56" s="161">
        <f>(E56+H56)*50%</f>
        <v>3.1999999999999997</v>
      </c>
      <c r="K56" s="161"/>
      <c r="L56" s="161"/>
      <c r="M56" s="161"/>
      <c r="N56" s="161">
        <f>(E56+H56)*25%</f>
        <v>1.5999999999999999</v>
      </c>
      <c r="O56" s="162"/>
      <c r="P56" s="161"/>
      <c r="Q56" s="161"/>
      <c r="R56" s="161"/>
      <c r="S56" s="163"/>
      <c r="T56" s="161"/>
      <c r="U56" s="161"/>
      <c r="V56" s="161">
        <f aca="true" t="shared" si="27" ref="V56:V61">(E56+H56)*22.5%</f>
        <v>1.44</v>
      </c>
      <c r="W56" s="164">
        <f>D56*1490000*12</f>
        <v>238519199.99999994</v>
      </c>
      <c r="X56" s="161"/>
      <c r="Y56" s="11"/>
      <c r="Z56" s="11"/>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row>
    <row r="57" spans="1:75" ht="15">
      <c r="A57" s="159">
        <v>2</v>
      </c>
      <c r="B57" s="160" t="s">
        <v>150</v>
      </c>
      <c r="C57" s="161"/>
      <c r="D57" s="161">
        <f t="shared" si="25"/>
        <v>6.625</v>
      </c>
      <c r="E57" s="162">
        <v>3</v>
      </c>
      <c r="F57" s="71">
        <f t="shared" si="26"/>
        <v>2.95</v>
      </c>
      <c r="G57" s="161">
        <v>0.7</v>
      </c>
      <c r="H57" s="161"/>
      <c r="I57" s="161"/>
      <c r="J57" s="161">
        <f>(E57+H57)*50%</f>
        <v>1.5</v>
      </c>
      <c r="K57" s="161"/>
      <c r="L57" s="161"/>
      <c r="M57" s="161"/>
      <c r="N57" s="161">
        <f>(E57+H57)*25%</f>
        <v>0.75</v>
      </c>
      <c r="O57" s="162"/>
      <c r="P57" s="161"/>
      <c r="Q57" s="161"/>
      <c r="R57" s="161"/>
      <c r="S57" s="163"/>
      <c r="T57" s="161"/>
      <c r="U57" s="161"/>
      <c r="V57" s="161">
        <f t="shared" si="27"/>
        <v>0.675</v>
      </c>
      <c r="W57" s="164">
        <f>D57*1490000*12</f>
        <v>118455000</v>
      </c>
      <c r="X57" s="161"/>
      <c r="Y57" s="11"/>
      <c r="Z57" s="11"/>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row>
    <row r="58" spans="1:75" ht="15">
      <c r="A58" s="159">
        <v>3</v>
      </c>
      <c r="B58" s="160" t="s">
        <v>148</v>
      </c>
      <c r="C58" s="161"/>
      <c r="D58" s="161">
        <f t="shared" si="25"/>
        <v>5.3215</v>
      </c>
      <c r="E58" s="162">
        <v>2.34</v>
      </c>
      <c r="F58" s="71">
        <f t="shared" si="26"/>
        <v>2.455</v>
      </c>
      <c r="G58" s="161">
        <v>0.7</v>
      </c>
      <c r="H58" s="161"/>
      <c r="I58" s="161"/>
      <c r="J58" s="161">
        <f>(E58+H58)*50%</f>
        <v>1.17</v>
      </c>
      <c r="K58" s="161"/>
      <c r="L58" s="161"/>
      <c r="M58" s="161"/>
      <c r="N58" s="161">
        <f>(E58+H58)*25%</f>
        <v>0.585</v>
      </c>
      <c r="O58" s="162"/>
      <c r="P58" s="161"/>
      <c r="Q58" s="161"/>
      <c r="R58" s="161"/>
      <c r="S58" s="163"/>
      <c r="T58" s="161"/>
      <c r="U58" s="161"/>
      <c r="V58" s="161">
        <f t="shared" si="27"/>
        <v>0.5265</v>
      </c>
      <c r="W58" s="164">
        <f>D58*1490000*8</f>
        <v>63432280.00000001</v>
      </c>
      <c r="X58" s="161"/>
      <c r="Y58" s="11"/>
      <c r="Z58" s="11"/>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row>
    <row r="59" spans="1:75" ht="15">
      <c r="A59" s="159"/>
      <c r="B59" s="165" t="s">
        <v>286</v>
      </c>
      <c r="C59" s="166"/>
      <c r="D59" s="161">
        <f t="shared" si="25"/>
        <v>2.8665</v>
      </c>
      <c r="E59" s="167">
        <v>2.34</v>
      </c>
      <c r="F59" s="71">
        <f t="shared" si="26"/>
        <v>0</v>
      </c>
      <c r="G59" s="161"/>
      <c r="H59" s="166"/>
      <c r="I59" s="166"/>
      <c r="J59" s="161"/>
      <c r="K59" s="166"/>
      <c r="L59" s="166"/>
      <c r="M59" s="166"/>
      <c r="N59" s="161"/>
      <c r="O59" s="167"/>
      <c r="P59" s="166"/>
      <c r="Q59" s="166"/>
      <c r="R59" s="166"/>
      <c r="S59" s="168"/>
      <c r="T59" s="166"/>
      <c r="U59" s="166"/>
      <c r="V59" s="161">
        <f>(E59+H59)*22.5%</f>
        <v>0.5265</v>
      </c>
      <c r="W59" s="164">
        <f>D59*1490000*4</f>
        <v>17084340</v>
      </c>
      <c r="X59" s="166"/>
      <c r="Y59" s="152"/>
      <c r="Z59" s="152"/>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row>
    <row r="60" spans="1:24" s="75" customFormat="1" ht="12.75">
      <c r="A60" s="159">
        <v>4</v>
      </c>
      <c r="B60" s="76" t="s">
        <v>262</v>
      </c>
      <c r="C60" s="71"/>
      <c r="D60" s="161">
        <f t="shared" si="25"/>
        <v>6.625</v>
      </c>
      <c r="E60" s="71">
        <v>3</v>
      </c>
      <c r="F60" s="71">
        <f t="shared" si="26"/>
        <v>2.95</v>
      </c>
      <c r="G60" s="161">
        <v>0.7</v>
      </c>
      <c r="H60" s="71"/>
      <c r="I60" s="71"/>
      <c r="J60" s="161">
        <f>(E60+H60)*50%</f>
        <v>1.5</v>
      </c>
      <c r="K60" s="71"/>
      <c r="L60" s="71"/>
      <c r="M60" s="71"/>
      <c r="N60" s="161">
        <f>(E60+H60)*25%</f>
        <v>0.75</v>
      </c>
      <c r="O60" s="71"/>
      <c r="P60" s="71"/>
      <c r="Q60" s="71"/>
      <c r="R60" s="71"/>
      <c r="S60" s="71"/>
      <c r="T60" s="71"/>
      <c r="U60" s="71"/>
      <c r="V60" s="161">
        <f t="shared" si="27"/>
        <v>0.675</v>
      </c>
      <c r="W60" s="164">
        <f>D60*1490000*12</f>
        <v>118455000</v>
      </c>
      <c r="X60" s="71"/>
    </row>
    <row r="61" spans="1:24" s="75" customFormat="1" ht="12.75">
      <c r="A61" s="159">
        <v>5</v>
      </c>
      <c r="B61" s="76" t="s">
        <v>117</v>
      </c>
      <c r="C61" s="71"/>
      <c r="D61" s="161">
        <f t="shared" si="25"/>
        <v>8.580250000000001</v>
      </c>
      <c r="E61" s="71">
        <v>3.99</v>
      </c>
      <c r="F61" s="71">
        <f t="shared" si="26"/>
        <v>3.6925000000000003</v>
      </c>
      <c r="G61" s="161">
        <v>0.7</v>
      </c>
      <c r="H61" s="71"/>
      <c r="I61" s="71"/>
      <c r="J61" s="161">
        <f>(E61+H61)*50%</f>
        <v>1.995</v>
      </c>
      <c r="K61" s="71"/>
      <c r="L61" s="71"/>
      <c r="M61" s="71"/>
      <c r="N61" s="161">
        <f>(E61+H61)*25%</f>
        <v>0.9975</v>
      </c>
      <c r="O61" s="71"/>
      <c r="P61" s="71"/>
      <c r="Q61" s="71"/>
      <c r="R61" s="71"/>
      <c r="S61" s="71"/>
      <c r="T61" s="71"/>
      <c r="U61" s="71"/>
      <c r="V61" s="161">
        <f t="shared" si="27"/>
        <v>0.89775</v>
      </c>
      <c r="W61" s="164">
        <f>D61*1490000*12</f>
        <v>153414870.00000003</v>
      </c>
      <c r="X61" s="71"/>
    </row>
    <row r="62" spans="1:24" s="75" customFormat="1" ht="12.75">
      <c r="A62" s="159">
        <v>6</v>
      </c>
      <c r="B62" s="76" t="s">
        <v>288</v>
      </c>
      <c r="C62" s="71"/>
      <c r="D62" s="161">
        <f t="shared" si="25"/>
        <v>2.8665</v>
      </c>
      <c r="E62" s="71">
        <f>2.34</f>
        <v>2.34</v>
      </c>
      <c r="F62" s="71">
        <f t="shared" si="26"/>
        <v>0</v>
      </c>
      <c r="G62" s="161"/>
      <c r="H62" s="71"/>
      <c r="I62" s="71"/>
      <c r="J62" s="161"/>
      <c r="K62" s="71"/>
      <c r="L62" s="71"/>
      <c r="M62" s="71"/>
      <c r="N62" s="71"/>
      <c r="O62" s="71"/>
      <c r="P62" s="71"/>
      <c r="Q62" s="71"/>
      <c r="R62" s="71"/>
      <c r="S62" s="71"/>
      <c r="T62" s="71"/>
      <c r="U62" s="71"/>
      <c r="V62" s="161">
        <f>(E62+H62)*22.5%</f>
        <v>0.5265</v>
      </c>
      <c r="W62" s="164">
        <f>D62*1490000*12</f>
        <v>51253020</v>
      </c>
      <c r="X62" s="71"/>
    </row>
    <row r="63" spans="1:24" s="74" customFormat="1" ht="12.75">
      <c r="A63" s="169" t="s">
        <v>263</v>
      </c>
      <c r="B63" s="123" t="s">
        <v>264</v>
      </c>
      <c r="C63" s="157"/>
      <c r="D63" s="170">
        <f aca="true" t="shared" si="28" ref="D63:W63">SUM(D64:D69)</f>
        <v>50.345749999999995</v>
      </c>
      <c r="E63" s="170">
        <f t="shared" si="28"/>
        <v>23.97</v>
      </c>
      <c r="F63" s="170">
        <f t="shared" si="28"/>
        <v>20.7575</v>
      </c>
      <c r="G63" s="170">
        <f t="shared" si="28"/>
        <v>3.5</v>
      </c>
      <c r="H63" s="170">
        <f t="shared" si="28"/>
        <v>1</v>
      </c>
      <c r="I63" s="170">
        <f t="shared" si="28"/>
        <v>0</v>
      </c>
      <c r="J63" s="170">
        <f t="shared" si="28"/>
        <v>10.145</v>
      </c>
      <c r="K63" s="170">
        <f t="shared" si="28"/>
        <v>0</v>
      </c>
      <c r="L63" s="170">
        <f t="shared" si="28"/>
        <v>0</v>
      </c>
      <c r="M63" s="170">
        <f t="shared" si="28"/>
        <v>0</v>
      </c>
      <c r="N63" s="170">
        <f t="shared" si="28"/>
        <v>5.0725</v>
      </c>
      <c r="O63" s="170">
        <f t="shared" si="28"/>
        <v>0</v>
      </c>
      <c r="P63" s="170">
        <f t="shared" si="28"/>
        <v>0</v>
      </c>
      <c r="Q63" s="170">
        <f t="shared" si="28"/>
        <v>0.6</v>
      </c>
      <c r="R63" s="170">
        <f t="shared" si="28"/>
        <v>0</v>
      </c>
      <c r="S63" s="170">
        <f t="shared" si="28"/>
        <v>0</v>
      </c>
      <c r="T63" s="170">
        <f t="shared" si="28"/>
        <v>0</v>
      </c>
      <c r="U63" s="170">
        <f t="shared" si="28"/>
        <v>0.44</v>
      </c>
      <c r="V63" s="170">
        <f t="shared" si="28"/>
        <v>5.61825</v>
      </c>
      <c r="W63" s="170">
        <f t="shared" si="28"/>
        <v>725827425</v>
      </c>
      <c r="X63" s="157"/>
    </row>
    <row r="64" spans="1:24" s="74" customFormat="1" ht="16.5">
      <c r="A64" s="171">
        <v>1</v>
      </c>
      <c r="B64" s="172" t="s">
        <v>34</v>
      </c>
      <c r="C64" s="157"/>
      <c r="D64" s="173">
        <f aca="true" t="shared" si="29" ref="D64:D69">E64+F64+V64</f>
        <v>9.692749999999998</v>
      </c>
      <c r="E64" s="174">
        <v>3.99</v>
      </c>
      <c r="F64" s="173">
        <f aca="true" t="shared" si="30" ref="F64:F69">SUM(G64:U64)</f>
        <v>4.7375</v>
      </c>
      <c r="G64" s="174">
        <v>0.7</v>
      </c>
      <c r="H64" s="174">
        <v>0.3</v>
      </c>
      <c r="I64" s="174"/>
      <c r="J64" s="173">
        <f>(E64+H64)*50%</f>
        <v>2.145</v>
      </c>
      <c r="K64" s="174"/>
      <c r="L64" s="174"/>
      <c r="M64" s="174"/>
      <c r="N64" s="173">
        <f>(E64+H64)*25%</f>
        <v>1.0725</v>
      </c>
      <c r="O64" s="174"/>
      <c r="P64" s="174"/>
      <c r="Q64" s="174">
        <v>0.3</v>
      </c>
      <c r="R64" s="174"/>
      <c r="S64" s="174"/>
      <c r="T64" s="174"/>
      <c r="U64" s="174">
        <v>0.22</v>
      </c>
      <c r="V64" s="173">
        <f aca="true" t="shared" si="31" ref="V64:V69">(E64+H64)*22.5%</f>
        <v>0.96525</v>
      </c>
      <c r="W64" s="175">
        <f>D64*1490000*2</f>
        <v>28884394.999999996</v>
      </c>
      <c r="X64" s="157"/>
    </row>
    <row r="65" spans="1:24" s="155" customFormat="1" ht="16.5">
      <c r="A65" s="176"/>
      <c r="B65" s="172" t="s">
        <v>34</v>
      </c>
      <c r="C65" s="177"/>
      <c r="D65" s="173">
        <f t="shared" si="29"/>
        <v>10.0445</v>
      </c>
      <c r="E65" s="173">
        <v>4.32</v>
      </c>
      <c r="F65" s="173">
        <f t="shared" si="30"/>
        <v>4.685</v>
      </c>
      <c r="G65" s="173">
        <v>0.7</v>
      </c>
      <c r="H65" s="173">
        <v>0.3</v>
      </c>
      <c r="I65" s="173"/>
      <c r="J65" s="173">
        <f>(E65+H65)*50%</f>
        <v>2.31</v>
      </c>
      <c r="K65" s="173"/>
      <c r="L65" s="173"/>
      <c r="M65" s="173"/>
      <c r="N65" s="173">
        <f>(E65+H65)*25%</f>
        <v>1.155</v>
      </c>
      <c r="O65" s="173"/>
      <c r="P65" s="173"/>
      <c r="Q65" s="173"/>
      <c r="R65" s="173"/>
      <c r="S65" s="173"/>
      <c r="T65" s="173"/>
      <c r="U65" s="173">
        <v>0.22</v>
      </c>
      <c r="V65" s="173">
        <f t="shared" si="31"/>
        <v>1.0395</v>
      </c>
      <c r="W65" s="175">
        <f>D65*1490000*10</f>
        <v>149663049.99999997</v>
      </c>
      <c r="X65" s="178"/>
    </row>
    <row r="66" spans="1:24" s="155" customFormat="1" ht="16.5">
      <c r="A66" s="176">
        <v>2</v>
      </c>
      <c r="B66" s="172" t="s">
        <v>156</v>
      </c>
      <c r="C66" s="177"/>
      <c r="D66" s="173">
        <f t="shared" si="29"/>
        <v>9.927</v>
      </c>
      <c r="E66" s="173">
        <v>4.32</v>
      </c>
      <c r="F66" s="173">
        <f t="shared" si="30"/>
        <v>4.59</v>
      </c>
      <c r="G66" s="173">
        <v>0.7</v>
      </c>
      <c r="H66" s="173">
        <v>0.2</v>
      </c>
      <c r="I66" s="173"/>
      <c r="J66" s="173">
        <f>(E66+H66)*50%</f>
        <v>2.2600000000000002</v>
      </c>
      <c r="K66" s="173"/>
      <c r="L66" s="173"/>
      <c r="M66" s="173"/>
      <c r="N66" s="173">
        <f>(E66+H66)*25%</f>
        <v>1.1300000000000001</v>
      </c>
      <c r="O66" s="173"/>
      <c r="P66" s="173"/>
      <c r="Q66" s="173">
        <v>0.3</v>
      </c>
      <c r="R66" s="173"/>
      <c r="S66" s="173"/>
      <c r="T66" s="173"/>
      <c r="U66" s="173"/>
      <c r="V66" s="173">
        <f t="shared" si="31"/>
        <v>1.0170000000000001</v>
      </c>
      <c r="W66" s="175">
        <f>D66*1490000*12</f>
        <v>177494760</v>
      </c>
      <c r="X66" s="179"/>
    </row>
    <row r="67" spans="1:24" s="155" customFormat="1" ht="16.5">
      <c r="A67" s="176">
        <v>3</v>
      </c>
      <c r="B67" s="180" t="s">
        <v>157</v>
      </c>
      <c r="C67" s="177"/>
      <c r="D67" s="173">
        <f t="shared" si="29"/>
        <v>8.97525</v>
      </c>
      <c r="E67" s="173">
        <v>3.99</v>
      </c>
      <c r="F67" s="173">
        <f t="shared" si="30"/>
        <v>4.0425</v>
      </c>
      <c r="G67" s="173">
        <v>0.7</v>
      </c>
      <c r="H67" s="173">
        <v>0.2</v>
      </c>
      <c r="I67" s="173"/>
      <c r="J67" s="173">
        <f>(E67+H67)*50%</f>
        <v>2.095</v>
      </c>
      <c r="K67" s="173"/>
      <c r="L67" s="173"/>
      <c r="M67" s="173"/>
      <c r="N67" s="173">
        <f>(E67+H67)*25%</f>
        <v>1.0475</v>
      </c>
      <c r="O67" s="173"/>
      <c r="P67" s="173"/>
      <c r="Q67" s="173"/>
      <c r="R67" s="173"/>
      <c r="S67" s="173"/>
      <c r="T67" s="173"/>
      <c r="U67" s="173"/>
      <c r="V67" s="173">
        <f t="shared" si="31"/>
        <v>0.9427500000000001</v>
      </c>
      <c r="W67" s="175">
        <f>D67*1490000*12</f>
        <v>160477470.00000003</v>
      </c>
      <c r="X67" s="178"/>
    </row>
    <row r="68" spans="1:24" s="155" customFormat="1" ht="16.5">
      <c r="A68" s="181">
        <v>4</v>
      </c>
      <c r="B68" s="182" t="s">
        <v>154</v>
      </c>
      <c r="C68" s="183"/>
      <c r="D68" s="173">
        <f t="shared" si="29"/>
        <v>5.97325</v>
      </c>
      <c r="E68" s="184">
        <v>2.67</v>
      </c>
      <c r="F68" s="184">
        <f t="shared" si="30"/>
        <v>2.7025</v>
      </c>
      <c r="G68" s="184">
        <v>0.7</v>
      </c>
      <c r="H68" s="184"/>
      <c r="I68" s="184"/>
      <c r="J68" s="184">
        <f>(E68+H68)*50%</f>
        <v>1.335</v>
      </c>
      <c r="K68" s="184"/>
      <c r="L68" s="184"/>
      <c r="M68" s="184"/>
      <c r="N68" s="184">
        <f>(E68+H68)*25%</f>
        <v>0.6675</v>
      </c>
      <c r="O68" s="184"/>
      <c r="P68" s="184"/>
      <c r="Q68" s="184"/>
      <c r="R68" s="184"/>
      <c r="S68" s="184"/>
      <c r="T68" s="184"/>
      <c r="U68" s="184"/>
      <c r="V68" s="184">
        <f t="shared" si="31"/>
        <v>0.60075</v>
      </c>
      <c r="W68" s="185">
        <f>D68*1490000*12</f>
        <v>106801710</v>
      </c>
      <c r="X68" s="186"/>
    </row>
    <row r="69" spans="1:24" s="155" customFormat="1" ht="16.5">
      <c r="A69" s="187">
        <v>6</v>
      </c>
      <c r="B69" s="188" t="s">
        <v>331</v>
      </c>
      <c r="C69" s="189"/>
      <c r="D69" s="173">
        <f t="shared" si="29"/>
        <v>5.733</v>
      </c>
      <c r="E69" s="190">
        <f>2.34*2</f>
        <v>4.68</v>
      </c>
      <c r="F69" s="184">
        <f t="shared" si="30"/>
        <v>0</v>
      </c>
      <c r="G69" s="190"/>
      <c r="H69" s="190"/>
      <c r="I69" s="190"/>
      <c r="J69" s="190"/>
      <c r="K69" s="190"/>
      <c r="L69" s="190"/>
      <c r="M69" s="190"/>
      <c r="N69" s="190"/>
      <c r="O69" s="190"/>
      <c r="P69" s="190"/>
      <c r="Q69" s="190"/>
      <c r="R69" s="190"/>
      <c r="S69" s="190"/>
      <c r="T69" s="190"/>
      <c r="U69" s="190"/>
      <c r="V69" s="190">
        <f t="shared" si="31"/>
        <v>1.053</v>
      </c>
      <c r="W69" s="185">
        <f>D69*1490000*12</f>
        <v>102506040</v>
      </c>
      <c r="X69" s="191"/>
    </row>
    <row r="70" spans="1:24" s="74" customFormat="1" ht="12.75">
      <c r="A70" s="156" t="s">
        <v>265</v>
      </c>
      <c r="B70" s="123" t="s">
        <v>266</v>
      </c>
      <c r="C70" s="157"/>
      <c r="D70" s="157">
        <f>SUM(D72:D76)</f>
        <v>44.96625</v>
      </c>
      <c r="E70" s="157">
        <f aca="true" t="shared" si="32" ref="E70:W70">SUM(E72:E76)</f>
        <v>19.950000000000003</v>
      </c>
      <c r="F70" s="157">
        <f t="shared" si="32"/>
        <v>20.347500000000004</v>
      </c>
      <c r="G70" s="157">
        <f t="shared" si="32"/>
        <v>3.5</v>
      </c>
      <c r="H70" s="157">
        <f t="shared" si="32"/>
        <v>0.8</v>
      </c>
      <c r="I70" s="157">
        <f t="shared" si="32"/>
        <v>0</v>
      </c>
      <c r="J70" s="157">
        <f t="shared" si="32"/>
        <v>10.375</v>
      </c>
      <c r="K70" s="157">
        <f t="shared" si="32"/>
        <v>0</v>
      </c>
      <c r="L70" s="157">
        <f t="shared" si="32"/>
        <v>0</v>
      </c>
      <c r="M70" s="157">
        <f t="shared" si="32"/>
        <v>0</v>
      </c>
      <c r="N70" s="157">
        <f t="shared" si="32"/>
        <v>5.1875</v>
      </c>
      <c r="O70" s="157">
        <f t="shared" si="32"/>
        <v>0</v>
      </c>
      <c r="P70" s="157">
        <f t="shared" si="32"/>
        <v>0</v>
      </c>
      <c r="Q70" s="157">
        <f t="shared" si="32"/>
        <v>0</v>
      </c>
      <c r="R70" s="157">
        <f t="shared" si="32"/>
        <v>0</v>
      </c>
      <c r="S70" s="157">
        <f t="shared" si="32"/>
        <v>0</v>
      </c>
      <c r="T70" s="157">
        <f t="shared" si="32"/>
        <v>0.4850000000000001</v>
      </c>
      <c r="U70" s="157">
        <f t="shared" si="32"/>
        <v>0</v>
      </c>
      <c r="V70" s="157">
        <f t="shared" si="32"/>
        <v>4.66875</v>
      </c>
      <c r="W70" s="158">
        <f t="shared" si="32"/>
        <v>630204812.5</v>
      </c>
      <c r="X70" s="157"/>
    </row>
    <row r="71" spans="1:24" s="74" customFormat="1" ht="12.75">
      <c r="A71" s="156"/>
      <c r="B71" s="192" t="s">
        <v>86</v>
      </c>
      <c r="C71" s="157">
        <v>6</v>
      </c>
      <c r="D71" s="157">
        <f>SUM(D72:D76)</f>
        <v>44.96625</v>
      </c>
      <c r="E71" s="157">
        <f aca="true" t="shared" si="33" ref="E71:U71">SUM(E72:E76)</f>
        <v>19.950000000000003</v>
      </c>
      <c r="F71" s="157">
        <f t="shared" si="33"/>
        <v>20.347500000000004</v>
      </c>
      <c r="G71" s="157">
        <f t="shared" si="33"/>
        <v>3.5</v>
      </c>
      <c r="H71" s="157">
        <f t="shared" si="33"/>
        <v>0.8</v>
      </c>
      <c r="I71" s="157">
        <f t="shared" si="33"/>
        <v>0</v>
      </c>
      <c r="J71" s="157">
        <f t="shared" si="33"/>
        <v>10.375</v>
      </c>
      <c r="K71" s="157">
        <f t="shared" si="33"/>
        <v>0</v>
      </c>
      <c r="L71" s="157">
        <f t="shared" si="33"/>
        <v>0</v>
      </c>
      <c r="M71" s="157">
        <f t="shared" si="33"/>
        <v>0</v>
      </c>
      <c r="N71" s="157">
        <f t="shared" si="33"/>
        <v>5.1875</v>
      </c>
      <c r="O71" s="157">
        <f t="shared" si="33"/>
        <v>0</v>
      </c>
      <c r="P71" s="157">
        <f t="shared" si="33"/>
        <v>0</v>
      </c>
      <c r="Q71" s="157">
        <f t="shared" si="33"/>
        <v>0</v>
      </c>
      <c r="R71" s="157">
        <f t="shared" si="33"/>
        <v>0</v>
      </c>
      <c r="S71" s="157">
        <f t="shared" si="33"/>
        <v>0</v>
      </c>
      <c r="T71" s="157">
        <f t="shared" si="33"/>
        <v>0.4850000000000001</v>
      </c>
      <c r="U71" s="157">
        <f t="shared" si="33"/>
        <v>0</v>
      </c>
      <c r="V71" s="157">
        <f>SUM(V72:V76)</f>
        <v>4.66875</v>
      </c>
      <c r="W71" s="157">
        <f>SUM(W72:W76)</f>
        <v>630204812.5</v>
      </c>
      <c r="X71" s="157"/>
    </row>
    <row r="72" spans="1:24" s="75" customFormat="1" ht="12.75">
      <c r="A72" s="193">
        <v>1</v>
      </c>
      <c r="B72" s="194" t="s">
        <v>267</v>
      </c>
      <c r="C72" s="71"/>
      <c r="D72" s="71">
        <f>E72+F72+V72</f>
        <v>8.521</v>
      </c>
      <c r="E72" s="71">
        <v>3.66</v>
      </c>
      <c r="F72" s="71">
        <f>SUM(G72:U72)</f>
        <v>3.9699999999999998</v>
      </c>
      <c r="G72" s="71">
        <v>0.7</v>
      </c>
      <c r="H72" s="71">
        <v>0.3</v>
      </c>
      <c r="I72" s="71"/>
      <c r="J72" s="71">
        <f>0.5*(E72+H72)</f>
        <v>1.98</v>
      </c>
      <c r="K72" s="71"/>
      <c r="L72" s="71"/>
      <c r="M72" s="71"/>
      <c r="N72" s="71">
        <f>0.25*(E72+H72)</f>
        <v>0.99</v>
      </c>
      <c r="O72" s="71"/>
      <c r="P72" s="71"/>
      <c r="Q72" s="71"/>
      <c r="R72" s="71"/>
      <c r="S72" s="71"/>
      <c r="T72" s="71"/>
      <c r="U72" s="71"/>
      <c r="V72" s="71">
        <f>(E72+H72)*22.5%</f>
        <v>0.891</v>
      </c>
      <c r="W72" s="195">
        <f>D72*1490000*2</f>
        <v>25392580.000000004</v>
      </c>
      <c r="X72" s="71" t="s">
        <v>268</v>
      </c>
    </row>
    <row r="73" spans="1:25" s="75" customFormat="1" ht="12.75">
      <c r="A73" s="193">
        <v>2</v>
      </c>
      <c r="B73" s="194" t="s">
        <v>36</v>
      </c>
      <c r="C73" s="71"/>
      <c r="D73" s="71">
        <f>E73+F73+V73</f>
        <v>10.47625</v>
      </c>
      <c r="E73" s="71">
        <v>4.65</v>
      </c>
      <c r="F73" s="71">
        <f>SUM(G73:U73)</f>
        <v>4.7125</v>
      </c>
      <c r="G73" s="71">
        <v>0.7</v>
      </c>
      <c r="H73" s="71">
        <v>0.3</v>
      </c>
      <c r="I73" s="71"/>
      <c r="J73" s="71">
        <f>0.5*(E73+H73)</f>
        <v>2.475</v>
      </c>
      <c r="K73" s="71"/>
      <c r="L73" s="71"/>
      <c r="M73" s="71"/>
      <c r="N73" s="71">
        <f>0.25*(E73+H73)</f>
        <v>1.2375</v>
      </c>
      <c r="O73" s="71"/>
      <c r="P73" s="71"/>
      <c r="Q73" s="71"/>
      <c r="R73" s="71"/>
      <c r="S73" s="71"/>
      <c r="T73" s="71"/>
      <c r="U73" s="71"/>
      <c r="V73" s="71">
        <f>(E73+H73)*22.5%</f>
        <v>1.11375</v>
      </c>
      <c r="W73" s="195">
        <f>D73*1490000*9</f>
        <v>140486512.5</v>
      </c>
      <c r="X73" s="71" t="s">
        <v>257</v>
      </c>
      <c r="Y73" s="147"/>
    </row>
    <row r="74" spans="1:24" s="75" customFormat="1" ht="12.75">
      <c r="A74" s="193">
        <v>3</v>
      </c>
      <c r="B74" s="194" t="s">
        <v>145</v>
      </c>
      <c r="C74" s="71"/>
      <c r="D74" s="71">
        <f>E74+F74+V74</f>
        <v>10.763750000000002</v>
      </c>
      <c r="E74" s="71">
        <v>4.65</v>
      </c>
      <c r="F74" s="71">
        <f>SUM(G74:U74)</f>
        <v>5.022500000000001</v>
      </c>
      <c r="G74" s="71">
        <v>0.7</v>
      </c>
      <c r="H74" s="71">
        <v>0.2</v>
      </c>
      <c r="I74" s="71"/>
      <c r="J74" s="71">
        <f>0.5*(E74+H74)</f>
        <v>2.4250000000000003</v>
      </c>
      <c r="K74" s="71"/>
      <c r="L74" s="71"/>
      <c r="M74" s="71"/>
      <c r="N74" s="71">
        <f>0.25*(E74+H74)</f>
        <v>1.2125000000000001</v>
      </c>
      <c r="O74" s="71"/>
      <c r="P74" s="71"/>
      <c r="Q74" s="71"/>
      <c r="R74" s="71"/>
      <c r="S74" s="71"/>
      <c r="T74" s="196">
        <f>(E74+H74)*10%</f>
        <v>0.4850000000000001</v>
      </c>
      <c r="U74" s="71"/>
      <c r="V74" s="71">
        <f>(E74+H74)*22.5%</f>
        <v>1.09125</v>
      </c>
      <c r="W74" s="195">
        <f>D74*1490000*12</f>
        <v>192455850.00000003</v>
      </c>
      <c r="X74" s="71"/>
    </row>
    <row r="75" spans="1:24" s="75" customFormat="1" ht="12.75">
      <c r="A75" s="193">
        <v>4</v>
      </c>
      <c r="B75" s="197" t="s">
        <v>143</v>
      </c>
      <c r="C75" s="71"/>
      <c r="D75" s="71">
        <f>E75+F75+V75</f>
        <v>9.232000000000001</v>
      </c>
      <c r="E75" s="71">
        <v>4.32</v>
      </c>
      <c r="F75" s="71">
        <f>SUM(G75:U75)</f>
        <v>3.9400000000000004</v>
      </c>
      <c r="G75" s="71">
        <v>0.7</v>
      </c>
      <c r="H75" s="71"/>
      <c r="I75" s="71"/>
      <c r="J75" s="71">
        <f>0.5*(E75+H75)</f>
        <v>2.16</v>
      </c>
      <c r="K75" s="71"/>
      <c r="L75" s="71"/>
      <c r="M75" s="71"/>
      <c r="N75" s="71">
        <f>0.25*(E75+H75)</f>
        <v>1.08</v>
      </c>
      <c r="O75" s="71"/>
      <c r="P75" s="71"/>
      <c r="Q75" s="71"/>
      <c r="R75" s="71"/>
      <c r="S75" s="71"/>
      <c r="T75" s="71"/>
      <c r="U75" s="71"/>
      <c r="V75" s="71">
        <f>(E75+H75)*22.5%</f>
        <v>0.9720000000000001</v>
      </c>
      <c r="W75" s="195">
        <f>D75*1490000*12</f>
        <v>165068160.00000003</v>
      </c>
      <c r="X75" s="71"/>
    </row>
    <row r="76" spans="1:24" s="75" customFormat="1" ht="12.75">
      <c r="A76" s="193">
        <v>5</v>
      </c>
      <c r="B76" s="76" t="s">
        <v>287</v>
      </c>
      <c r="C76" s="71"/>
      <c r="D76" s="71">
        <f>E76+F76+V76</f>
        <v>5.97325</v>
      </c>
      <c r="E76" s="71">
        <v>2.67</v>
      </c>
      <c r="F76" s="71">
        <f>SUM(G76:U76)</f>
        <v>2.7025</v>
      </c>
      <c r="G76" s="71">
        <v>0.7</v>
      </c>
      <c r="H76" s="71"/>
      <c r="I76" s="71"/>
      <c r="J76" s="71">
        <f>0.5*(E76+H76)</f>
        <v>1.335</v>
      </c>
      <c r="K76" s="71"/>
      <c r="L76" s="71"/>
      <c r="M76" s="71"/>
      <c r="N76" s="71">
        <f>0.25*(E76+H76)</f>
        <v>0.6675</v>
      </c>
      <c r="O76" s="71"/>
      <c r="P76" s="71"/>
      <c r="Q76" s="71"/>
      <c r="R76" s="71"/>
      <c r="S76" s="71"/>
      <c r="T76" s="71"/>
      <c r="U76" s="71"/>
      <c r="V76" s="71">
        <f>(E76+H76)*22.5%</f>
        <v>0.60075</v>
      </c>
      <c r="W76" s="195">
        <f>D76*1490000*12</f>
        <v>106801710</v>
      </c>
      <c r="X76" s="71"/>
    </row>
    <row r="77" spans="1:24" s="74" customFormat="1" ht="12.75">
      <c r="A77" s="156" t="s">
        <v>269</v>
      </c>
      <c r="B77" s="123" t="s">
        <v>270</v>
      </c>
      <c r="C77" s="157"/>
      <c r="D77" s="157">
        <f>SUM(D78:D81)</f>
        <v>23.729</v>
      </c>
      <c r="E77" s="157">
        <f aca="true" t="shared" si="34" ref="E77:V77">SUM(E78:E81)</f>
        <v>11.64</v>
      </c>
      <c r="F77" s="157">
        <f t="shared" si="34"/>
        <v>9.425</v>
      </c>
      <c r="G77" s="157">
        <f t="shared" si="34"/>
        <v>2.0999999999999996</v>
      </c>
      <c r="H77" s="157">
        <f t="shared" si="34"/>
        <v>0.2</v>
      </c>
      <c r="I77" s="157">
        <f t="shared" si="34"/>
        <v>0</v>
      </c>
      <c r="J77" s="157">
        <f t="shared" si="34"/>
        <v>4.75</v>
      </c>
      <c r="K77" s="157">
        <f t="shared" si="34"/>
        <v>0</v>
      </c>
      <c r="L77" s="157">
        <f t="shared" si="34"/>
        <v>0</v>
      </c>
      <c r="M77" s="157">
        <f t="shared" si="34"/>
        <v>0</v>
      </c>
      <c r="N77" s="157">
        <f t="shared" si="34"/>
        <v>2.375</v>
      </c>
      <c r="O77" s="157">
        <f t="shared" si="34"/>
        <v>0</v>
      </c>
      <c r="P77" s="157">
        <f t="shared" si="34"/>
        <v>0</v>
      </c>
      <c r="Q77" s="157">
        <f t="shared" si="34"/>
        <v>0</v>
      </c>
      <c r="R77" s="157">
        <f t="shared" si="34"/>
        <v>0</v>
      </c>
      <c r="S77" s="157">
        <f t="shared" si="34"/>
        <v>0</v>
      </c>
      <c r="T77" s="157">
        <f t="shared" si="34"/>
        <v>0</v>
      </c>
      <c r="U77" s="157">
        <f t="shared" si="34"/>
        <v>0</v>
      </c>
      <c r="V77" s="157">
        <f t="shared" si="34"/>
        <v>2.664</v>
      </c>
      <c r="W77" s="157">
        <f>SUM(W78:W81)</f>
        <v>424274520</v>
      </c>
      <c r="X77" s="157"/>
    </row>
    <row r="78" spans="1:24" s="75" customFormat="1" ht="12.75">
      <c r="A78" s="193">
        <v>1</v>
      </c>
      <c r="B78" s="194" t="s">
        <v>68</v>
      </c>
      <c r="C78" s="71"/>
      <c r="D78" s="71">
        <f>E78+F78+V78</f>
        <v>8.916</v>
      </c>
      <c r="E78" s="71">
        <v>3.96</v>
      </c>
      <c r="F78" s="71">
        <f>SUM(G78:U78)</f>
        <v>4.02</v>
      </c>
      <c r="G78" s="71">
        <v>0.7</v>
      </c>
      <c r="H78" s="71">
        <v>0.2</v>
      </c>
      <c r="I78" s="71"/>
      <c r="J78" s="71">
        <f>0.5*(E78+H78)</f>
        <v>2.08</v>
      </c>
      <c r="K78" s="71"/>
      <c r="L78" s="71"/>
      <c r="M78" s="71"/>
      <c r="N78" s="71">
        <f>0.25*(E78+H78)</f>
        <v>1.04</v>
      </c>
      <c r="O78" s="71"/>
      <c r="P78" s="71"/>
      <c r="Q78" s="71"/>
      <c r="R78" s="71"/>
      <c r="S78" s="71"/>
      <c r="T78" s="71"/>
      <c r="U78" s="71"/>
      <c r="V78" s="71">
        <f>(E78+H78)*22.5%</f>
        <v>0.936</v>
      </c>
      <c r="W78" s="198">
        <f>D78*1490000*12</f>
        <v>159418080</v>
      </c>
      <c r="X78" s="71"/>
    </row>
    <row r="79" spans="1:24" s="75" customFormat="1" ht="12.75">
      <c r="A79" s="193">
        <v>2</v>
      </c>
      <c r="B79" s="194" t="s">
        <v>131</v>
      </c>
      <c r="C79" s="71"/>
      <c r="D79" s="71">
        <f>E79+F79+V79</f>
        <v>6.625</v>
      </c>
      <c r="E79" s="71">
        <v>3</v>
      </c>
      <c r="F79" s="71">
        <f>SUM(G79:U79)</f>
        <v>2.95</v>
      </c>
      <c r="G79" s="71">
        <v>0.7</v>
      </c>
      <c r="H79" s="71"/>
      <c r="I79" s="71"/>
      <c r="J79" s="71">
        <f>0.5*(E79+H79)</f>
        <v>1.5</v>
      </c>
      <c r="K79" s="71"/>
      <c r="L79" s="71"/>
      <c r="M79" s="71"/>
      <c r="N79" s="71">
        <f>0.25*(E79+H79)</f>
        <v>0.75</v>
      </c>
      <c r="O79" s="71"/>
      <c r="P79" s="71"/>
      <c r="Q79" s="71"/>
      <c r="R79" s="71"/>
      <c r="S79" s="71"/>
      <c r="T79" s="71"/>
      <c r="U79" s="71"/>
      <c r="V79" s="71">
        <f>(E79+H79)*22.5%</f>
        <v>0.675</v>
      </c>
      <c r="W79" s="198">
        <f>D79*1490000*12</f>
        <v>118455000</v>
      </c>
      <c r="X79" s="71"/>
    </row>
    <row r="80" spans="1:24" s="75" customFormat="1" ht="12.75">
      <c r="A80" s="193">
        <v>3</v>
      </c>
      <c r="B80" s="125" t="s">
        <v>130</v>
      </c>
      <c r="C80" s="71"/>
      <c r="D80" s="71">
        <f>E80+F80+V80</f>
        <v>5.3215</v>
      </c>
      <c r="E80" s="71">
        <v>2.34</v>
      </c>
      <c r="F80" s="71">
        <f>SUM(G80:U80)</f>
        <v>2.455</v>
      </c>
      <c r="G80" s="71">
        <v>0.7</v>
      </c>
      <c r="H80" s="71"/>
      <c r="I80" s="71"/>
      <c r="J80" s="71">
        <f>0.5*(E80+H80)</f>
        <v>1.17</v>
      </c>
      <c r="K80" s="71"/>
      <c r="L80" s="71"/>
      <c r="M80" s="71"/>
      <c r="N80" s="71">
        <f>0.25*(E80+H80)</f>
        <v>0.585</v>
      </c>
      <c r="O80" s="71"/>
      <c r="P80" s="71"/>
      <c r="Q80" s="71"/>
      <c r="R80" s="71"/>
      <c r="S80" s="71"/>
      <c r="T80" s="71"/>
      <c r="U80" s="71"/>
      <c r="V80" s="71">
        <f>(E80+H80)*22.5%</f>
        <v>0.5265</v>
      </c>
      <c r="W80" s="198">
        <f>D80*1490000*12</f>
        <v>95148420.00000001</v>
      </c>
      <c r="X80" s="71"/>
    </row>
    <row r="81" spans="1:24" s="75" customFormat="1" ht="12.75">
      <c r="A81" s="193">
        <v>4</v>
      </c>
      <c r="B81" s="125" t="s">
        <v>271</v>
      </c>
      <c r="C81" s="71"/>
      <c r="D81" s="253">
        <f>E81+V81</f>
        <v>2.8665</v>
      </c>
      <c r="E81" s="71">
        <v>2.34</v>
      </c>
      <c r="F81" s="71"/>
      <c r="G81" s="71"/>
      <c r="H81" s="71"/>
      <c r="I81" s="71"/>
      <c r="J81" s="71"/>
      <c r="K81" s="71"/>
      <c r="L81" s="71"/>
      <c r="M81" s="71"/>
      <c r="N81" s="71"/>
      <c r="O81" s="71"/>
      <c r="P81" s="71"/>
      <c r="Q81" s="71"/>
      <c r="R81" s="71"/>
      <c r="S81" s="71"/>
      <c r="T81" s="71"/>
      <c r="U81" s="71"/>
      <c r="V81" s="71">
        <f>(E81+H81)*22.5%</f>
        <v>0.5265</v>
      </c>
      <c r="W81" s="198">
        <f>D81*1490000*12</f>
        <v>51253020</v>
      </c>
      <c r="X81" s="71"/>
    </row>
    <row r="82" spans="1:24" s="74" customFormat="1" ht="12.75">
      <c r="A82" s="156" t="s">
        <v>272</v>
      </c>
      <c r="B82" s="123" t="s">
        <v>273</v>
      </c>
      <c r="C82" s="157"/>
      <c r="D82" s="157">
        <f>SUM(D83:D85)</f>
        <v>15.8005</v>
      </c>
      <c r="E82" s="157">
        <f aca="true" t="shared" si="35" ref="E82:W82">SUM(E83:E85)</f>
        <v>7.68</v>
      </c>
      <c r="F82" s="157">
        <f t="shared" si="35"/>
        <v>6.28</v>
      </c>
      <c r="G82" s="157">
        <f t="shared" si="35"/>
        <v>1.4</v>
      </c>
      <c r="H82" s="157">
        <f t="shared" si="35"/>
        <v>0.5</v>
      </c>
      <c r="I82" s="157">
        <f t="shared" si="35"/>
        <v>0</v>
      </c>
      <c r="J82" s="157">
        <f t="shared" si="35"/>
        <v>2.92</v>
      </c>
      <c r="K82" s="157">
        <f t="shared" si="35"/>
        <v>0</v>
      </c>
      <c r="L82" s="157">
        <f t="shared" si="35"/>
        <v>0</v>
      </c>
      <c r="M82" s="157">
        <f t="shared" si="35"/>
        <v>0</v>
      </c>
      <c r="N82" s="157">
        <f t="shared" si="35"/>
        <v>1.46</v>
      </c>
      <c r="O82" s="157">
        <f t="shared" si="35"/>
        <v>0</v>
      </c>
      <c r="P82" s="157">
        <f t="shared" si="35"/>
        <v>0</v>
      </c>
      <c r="Q82" s="157">
        <f t="shared" si="35"/>
        <v>0</v>
      </c>
      <c r="R82" s="157">
        <f t="shared" si="35"/>
        <v>0</v>
      </c>
      <c r="S82" s="157">
        <f t="shared" si="35"/>
        <v>0</v>
      </c>
      <c r="T82" s="157">
        <f t="shared" si="35"/>
        <v>0</v>
      </c>
      <c r="U82" s="157">
        <f t="shared" si="35"/>
        <v>0</v>
      </c>
      <c r="V82" s="157">
        <f t="shared" si="35"/>
        <v>1.8405</v>
      </c>
      <c r="W82" s="157">
        <f t="shared" si="35"/>
        <v>168060080</v>
      </c>
      <c r="X82" s="157"/>
    </row>
    <row r="83" spans="1:24" s="75" customFormat="1" ht="12.75">
      <c r="A83" s="193">
        <v>1</v>
      </c>
      <c r="B83" s="199" t="s">
        <v>127</v>
      </c>
      <c r="C83" s="71"/>
      <c r="D83" s="71">
        <f>E83+F83+V83</f>
        <v>6.36825</v>
      </c>
      <c r="E83" s="71">
        <v>2.67</v>
      </c>
      <c r="F83" s="71">
        <f>SUM(G83:U83)</f>
        <v>3.0525</v>
      </c>
      <c r="G83" s="71">
        <v>0.7</v>
      </c>
      <c r="H83" s="71">
        <v>0.2</v>
      </c>
      <c r="I83" s="71"/>
      <c r="J83" s="71">
        <f>0.5*(E83+H83)</f>
        <v>1.435</v>
      </c>
      <c r="K83" s="71"/>
      <c r="L83" s="71"/>
      <c r="M83" s="71"/>
      <c r="N83" s="71">
        <f>0.25*(E83+H83)</f>
        <v>0.7175</v>
      </c>
      <c r="O83" s="71"/>
      <c r="P83" s="71"/>
      <c r="Q83" s="71"/>
      <c r="R83" s="71"/>
      <c r="S83" s="71"/>
      <c r="T83" s="71"/>
      <c r="U83" s="71"/>
      <c r="V83" s="71">
        <f>(E83+H83)*22.5%</f>
        <v>0.64575</v>
      </c>
      <c r="W83" s="195">
        <f>D83*1490000*2</f>
        <v>18977385</v>
      </c>
      <c r="X83" s="71" t="s">
        <v>268</v>
      </c>
    </row>
    <row r="84" spans="1:24" s="75" customFormat="1" ht="12.75">
      <c r="A84" s="193"/>
      <c r="B84" s="199" t="s">
        <v>127</v>
      </c>
      <c r="C84" s="71"/>
      <c r="D84" s="71">
        <f>E84+F84+V84</f>
        <v>6.5657499999999995</v>
      </c>
      <c r="E84" s="71">
        <v>2.67</v>
      </c>
      <c r="F84" s="71">
        <f>SUM(G84:U84)</f>
        <v>3.2275</v>
      </c>
      <c r="G84" s="71">
        <v>0.7</v>
      </c>
      <c r="H84" s="71">
        <v>0.3</v>
      </c>
      <c r="I84" s="71"/>
      <c r="J84" s="71">
        <f>0.5*(E84+H84)</f>
        <v>1.4849999999999999</v>
      </c>
      <c r="K84" s="71"/>
      <c r="L84" s="71"/>
      <c r="M84" s="71"/>
      <c r="N84" s="71">
        <f>0.25*(E84+H84)</f>
        <v>0.7424999999999999</v>
      </c>
      <c r="O84" s="71"/>
      <c r="P84" s="71"/>
      <c r="Q84" s="71"/>
      <c r="R84" s="71"/>
      <c r="S84" s="71"/>
      <c r="T84" s="71"/>
      <c r="U84" s="71"/>
      <c r="V84" s="71">
        <f>(E84+H84)*22.5%</f>
        <v>0.66825</v>
      </c>
      <c r="W84" s="195">
        <f>D84*1490000*10</f>
        <v>97829675</v>
      </c>
      <c r="X84" s="71" t="s">
        <v>274</v>
      </c>
    </row>
    <row r="85" spans="1:24" s="75" customFormat="1" ht="12.75">
      <c r="A85" s="193">
        <v>2</v>
      </c>
      <c r="B85" s="76" t="s">
        <v>288</v>
      </c>
      <c r="C85" s="71"/>
      <c r="D85" s="71">
        <f>E85+F85+V85</f>
        <v>2.8665</v>
      </c>
      <c r="E85" s="71">
        <v>2.34</v>
      </c>
      <c r="F85" s="71"/>
      <c r="G85" s="71"/>
      <c r="H85" s="71"/>
      <c r="I85" s="71"/>
      <c r="J85" s="71"/>
      <c r="K85" s="71"/>
      <c r="L85" s="71"/>
      <c r="M85" s="71"/>
      <c r="N85" s="71"/>
      <c r="O85" s="71"/>
      <c r="P85" s="71"/>
      <c r="Q85" s="71"/>
      <c r="R85" s="71"/>
      <c r="S85" s="71"/>
      <c r="T85" s="71"/>
      <c r="U85" s="71"/>
      <c r="V85" s="71">
        <f>(E85+H85)*22.5%</f>
        <v>0.5265</v>
      </c>
      <c r="W85" s="195">
        <f>D85*1490000*12</f>
        <v>51253020</v>
      </c>
      <c r="X85" s="71" t="s">
        <v>268</v>
      </c>
    </row>
    <row r="86" spans="1:24" s="74" customFormat="1" ht="12.75">
      <c r="A86" s="156" t="s">
        <v>275</v>
      </c>
      <c r="B86" s="123" t="s">
        <v>276</v>
      </c>
      <c r="C86" s="157"/>
      <c r="D86" s="157">
        <f>SUM(D87:D91)</f>
        <v>39.859750000000005</v>
      </c>
      <c r="E86" s="157">
        <f aca="true" t="shared" si="36" ref="E86:W86">SUM(E87:E91)</f>
        <v>17.71</v>
      </c>
      <c r="F86" s="157">
        <f t="shared" si="36"/>
        <v>18.0075</v>
      </c>
      <c r="G86" s="157">
        <f t="shared" si="36"/>
        <v>3.5</v>
      </c>
      <c r="H86" s="157">
        <f t="shared" si="36"/>
        <v>0.7</v>
      </c>
      <c r="I86" s="157">
        <f t="shared" si="36"/>
        <v>0</v>
      </c>
      <c r="J86" s="157">
        <f t="shared" si="36"/>
        <v>9.205000000000002</v>
      </c>
      <c r="K86" s="157">
        <f t="shared" si="36"/>
        <v>0</v>
      </c>
      <c r="L86" s="157">
        <f t="shared" si="36"/>
        <v>0</v>
      </c>
      <c r="M86" s="157">
        <f t="shared" si="36"/>
        <v>0</v>
      </c>
      <c r="N86" s="157">
        <f t="shared" si="36"/>
        <v>4.602500000000001</v>
      </c>
      <c r="O86" s="157">
        <f t="shared" si="36"/>
        <v>0</v>
      </c>
      <c r="P86" s="157">
        <f t="shared" si="36"/>
        <v>0</v>
      </c>
      <c r="Q86" s="157">
        <f t="shared" si="36"/>
        <v>0</v>
      </c>
      <c r="R86" s="157">
        <f t="shared" si="36"/>
        <v>0</v>
      </c>
      <c r="S86" s="157">
        <f t="shared" si="36"/>
        <v>0</v>
      </c>
      <c r="T86" s="157">
        <f t="shared" si="36"/>
        <v>0</v>
      </c>
      <c r="U86" s="157">
        <f t="shared" si="36"/>
        <v>0</v>
      </c>
      <c r="V86" s="157">
        <f t="shared" si="36"/>
        <v>4.142250000000001</v>
      </c>
      <c r="W86" s="157">
        <f t="shared" si="36"/>
        <v>712692330</v>
      </c>
      <c r="X86" s="157"/>
    </row>
    <row r="87" spans="1:24" s="74" customFormat="1" ht="32.25" customHeight="1">
      <c r="A87" s="200">
        <v>1</v>
      </c>
      <c r="B87" s="127" t="s">
        <v>35</v>
      </c>
      <c r="C87" s="201"/>
      <c r="D87" s="202">
        <f>E87+F87+V87</f>
        <v>8.521</v>
      </c>
      <c r="E87" s="128">
        <f>3.66</f>
        <v>3.66</v>
      </c>
      <c r="F87" s="202">
        <f>SUM(G87:T87)</f>
        <v>3.9699999999999998</v>
      </c>
      <c r="G87" s="128">
        <v>0.7</v>
      </c>
      <c r="H87" s="128">
        <v>0.3</v>
      </c>
      <c r="I87" s="201"/>
      <c r="J87" s="129">
        <f>(E87+H87)*0.5</f>
        <v>1.98</v>
      </c>
      <c r="K87" s="201"/>
      <c r="L87" s="201"/>
      <c r="M87" s="201"/>
      <c r="N87" s="130">
        <f>0.25*(E87+H87)</f>
        <v>0.99</v>
      </c>
      <c r="O87" s="201"/>
      <c r="P87" s="201"/>
      <c r="Q87" s="201"/>
      <c r="R87" s="201"/>
      <c r="S87" s="201"/>
      <c r="T87" s="201"/>
      <c r="U87" s="201"/>
      <c r="V87" s="202">
        <f>(E87+H87)*22.5%</f>
        <v>0.891</v>
      </c>
      <c r="W87" s="131">
        <f>D87*12*1490000</f>
        <v>152355480</v>
      </c>
      <c r="X87" s="201"/>
    </row>
    <row r="88" spans="1:24" s="74" customFormat="1" ht="32.25" customHeight="1">
      <c r="A88" s="200">
        <v>2</v>
      </c>
      <c r="B88" s="127" t="s">
        <v>138</v>
      </c>
      <c r="C88" s="201"/>
      <c r="D88" s="202">
        <f>E88+F88+V88</f>
        <v>8.97525</v>
      </c>
      <c r="E88" s="128">
        <f>3.99</f>
        <v>3.99</v>
      </c>
      <c r="F88" s="202">
        <f>SUM(G88:T88)</f>
        <v>4.0425</v>
      </c>
      <c r="G88" s="128">
        <v>0.7</v>
      </c>
      <c r="H88" s="128">
        <v>0.2</v>
      </c>
      <c r="I88" s="201"/>
      <c r="J88" s="129">
        <f>(E88+H88)*0.5</f>
        <v>2.095</v>
      </c>
      <c r="K88" s="201"/>
      <c r="L88" s="201"/>
      <c r="M88" s="201"/>
      <c r="N88" s="130">
        <f>0.25*(E88+H88)</f>
        <v>1.0475</v>
      </c>
      <c r="O88" s="201"/>
      <c r="P88" s="201"/>
      <c r="Q88" s="201"/>
      <c r="R88" s="201"/>
      <c r="S88" s="201"/>
      <c r="T88" s="201"/>
      <c r="U88" s="201"/>
      <c r="V88" s="202">
        <f>(E88+H88)*22.5%</f>
        <v>0.9427500000000001</v>
      </c>
      <c r="W88" s="131">
        <f>D88*12*1490000</f>
        <v>160477470</v>
      </c>
      <c r="X88" s="201"/>
    </row>
    <row r="89" spans="1:24" s="74" customFormat="1" ht="32.25" customHeight="1">
      <c r="A89" s="200">
        <v>3</v>
      </c>
      <c r="B89" s="127" t="s">
        <v>137</v>
      </c>
      <c r="C89" s="201"/>
      <c r="D89" s="202">
        <f>E89+F89+V89</f>
        <v>9.626999999999999</v>
      </c>
      <c r="E89" s="128">
        <f>4.32</f>
        <v>4.32</v>
      </c>
      <c r="F89" s="202">
        <f>SUM(G89:T89)</f>
        <v>4.29</v>
      </c>
      <c r="G89" s="128">
        <v>0.7</v>
      </c>
      <c r="H89" s="128">
        <v>0.2</v>
      </c>
      <c r="I89" s="201"/>
      <c r="J89" s="129">
        <f>(E89+H89)*0.5</f>
        <v>2.2600000000000002</v>
      </c>
      <c r="K89" s="201"/>
      <c r="L89" s="201"/>
      <c r="M89" s="201"/>
      <c r="N89" s="130">
        <f>0.25*(E89+H89)</f>
        <v>1.1300000000000001</v>
      </c>
      <c r="O89" s="201"/>
      <c r="P89" s="201"/>
      <c r="Q89" s="201"/>
      <c r="R89" s="201"/>
      <c r="S89" s="201"/>
      <c r="T89" s="201"/>
      <c r="U89" s="201"/>
      <c r="V89" s="202">
        <f>(E89+H89)*22.5%</f>
        <v>1.0170000000000001</v>
      </c>
      <c r="W89" s="131">
        <f>D89*12*1490000</f>
        <v>172130759.99999997</v>
      </c>
      <c r="X89" s="201"/>
    </row>
    <row r="90" spans="1:24" s="75" customFormat="1" ht="32.25" customHeight="1">
      <c r="A90" s="200">
        <v>4</v>
      </c>
      <c r="B90" s="127" t="s">
        <v>136</v>
      </c>
      <c r="C90" s="202"/>
      <c r="D90" s="202">
        <f>E90+F90+V90</f>
        <v>5.4597500000000005</v>
      </c>
      <c r="E90" s="128">
        <v>2.41</v>
      </c>
      <c r="F90" s="202">
        <f>SUM(G90:T90)</f>
        <v>2.5075000000000003</v>
      </c>
      <c r="G90" s="128">
        <v>0.7</v>
      </c>
      <c r="H90" s="202"/>
      <c r="I90" s="202"/>
      <c r="J90" s="129">
        <f>(E90+H90)*0.5</f>
        <v>1.205</v>
      </c>
      <c r="K90" s="202"/>
      <c r="L90" s="202"/>
      <c r="M90" s="202"/>
      <c r="N90" s="130">
        <f>0.25*(E90+H90)</f>
        <v>0.6025</v>
      </c>
      <c r="O90" s="202"/>
      <c r="P90" s="202"/>
      <c r="Q90" s="202"/>
      <c r="R90" s="202"/>
      <c r="S90" s="202"/>
      <c r="T90" s="202"/>
      <c r="U90" s="202"/>
      <c r="V90" s="202">
        <f>(E90+H90)*22.5%</f>
        <v>0.54225</v>
      </c>
      <c r="W90" s="131">
        <f>D90*12*1490000</f>
        <v>97620330.00000001</v>
      </c>
      <c r="X90" s="202"/>
    </row>
    <row r="91" spans="1:24" s="132" customFormat="1" ht="32.25" customHeight="1">
      <c r="A91" s="200">
        <v>5</v>
      </c>
      <c r="B91" s="127" t="s">
        <v>135</v>
      </c>
      <c r="C91" s="203"/>
      <c r="D91" s="202">
        <f>E91+F91+V91</f>
        <v>7.27675</v>
      </c>
      <c r="E91" s="128">
        <v>3.33</v>
      </c>
      <c r="F91" s="202">
        <f>SUM(G91:T91)</f>
        <v>3.1975000000000002</v>
      </c>
      <c r="G91" s="128">
        <v>0.7</v>
      </c>
      <c r="H91" s="203"/>
      <c r="I91" s="203"/>
      <c r="J91" s="129">
        <f>(E91+H91)*0.5</f>
        <v>1.665</v>
      </c>
      <c r="K91" s="203"/>
      <c r="L91" s="203"/>
      <c r="M91" s="203"/>
      <c r="N91" s="130">
        <f>0.25*(E91+H91)</f>
        <v>0.8325</v>
      </c>
      <c r="O91" s="203"/>
      <c r="P91" s="203"/>
      <c r="Q91" s="203"/>
      <c r="R91" s="203"/>
      <c r="S91" s="203"/>
      <c r="T91" s="203"/>
      <c r="U91" s="203"/>
      <c r="V91" s="202">
        <f>(E91+H91)*22.5%</f>
        <v>0.7492500000000001</v>
      </c>
      <c r="W91" s="131">
        <f>D91*12*1490000</f>
        <v>130108290</v>
      </c>
      <c r="X91" s="203"/>
    </row>
    <row r="92" spans="1:24" s="74" customFormat="1" ht="20.25" customHeight="1">
      <c r="A92" s="156">
        <v>5</v>
      </c>
      <c r="B92" s="255" t="s">
        <v>125</v>
      </c>
      <c r="C92" s="157"/>
      <c r="D92" s="157">
        <f aca="true" t="shared" si="37" ref="D92:W92">D93+D138+D144+D147+D151+D153</f>
        <v>452.7436024999999</v>
      </c>
      <c r="E92" s="157">
        <f t="shared" si="37"/>
        <v>173.39000000000001</v>
      </c>
      <c r="F92" s="157">
        <f t="shared" si="37"/>
        <v>268.10135249999996</v>
      </c>
      <c r="G92" s="157">
        <f t="shared" si="37"/>
        <v>34.99999999999998</v>
      </c>
      <c r="H92" s="157">
        <f t="shared" si="37"/>
        <v>9.050000000000002</v>
      </c>
      <c r="I92" s="157">
        <f t="shared" si="37"/>
        <v>0</v>
      </c>
      <c r="J92" s="157">
        <f t="shared" si="37"/>
        <v>87.71000000000002</v>
      </c>
      <c r="K92" s="157">
        <f t="shared" si="37"/>
        <v>0</v>
      </c>
      <c r="L92" s="157">
        <f t="shared" si="37"/>
        <v>1.0209000000000001</v>
      </c>
      <c r="M92" s="157">
        <f t="shared" si="37"/>
        <v>0</v>
      </c>
      <c r="N92" s="157">
        <f t="shared" si="37"/>
        <v>43.85500000000001</v>
      </c>
      <c r="O92" s="157">
        <f t="shared" si="37"/>
        <v>0</v>
      </c>
      <c r="P92" s="157">
        <f t="shared" si="37"/>
        <v>0</v>
      </c>
      <c r="Q92" s="157">
        <f t="shared" si="37"/>
        <v>0</v>
      </c>
      <c r="R92" s="157">
        <f t="shared" si="37"/>
        <v>0</v>
      </c>
      <c r="S92" s="157">
        <f t="shared" si="37"/>
        <v>58.32600000000001</v>
      </c>
      <c r="T92" s="157">
        <f t="shared" si="37"/>
        <v>2.4030000000000005</v>
      </c>
      <c r="U92" s="157">
        <f t="shared" si="37"/>
        <v>0.71</v>
      </c>
      <c r="V92" s="157">
        <f t="shared" si="37"/>
        <v>41.27870250000001</v>
      </c>
      <c r="W92" s="157">
        <f t="shared" si="37"/>
        <v>6458267517.95</v>
      </c>
      <c r="X92" s="157"/>
    </row>
    <row r="93" spans="1:24" s="74" customFormat="1" ht="12.75">
      <c r="A93" s="156" t="s">
        <v>296</v>
      </c>
      <c r="B93" s="192" t="s">
        <v>123</v>
      </c>
      <c r="C93" s="157"/>
      <c r="D93" s="157">
        <f>D94+D133</f>
        <v>336.07885249999987</v>
      </c>
      <c r="E93" s="157">
        <f aca="true" t="shared" si="38" ref="E93:V93">E94+E133</f>
        <v>126.23000000000002</v>
      </c>
      <c r="F93" s="157">
        <f t="shared" si="38"/>
        <v>209.8488525</v>
      </c>
      <c r="G93" s="157">
        <f t="shared" si="38"/>
        <v>26.599999999999984</v>
      </c>
      <c r="H93" s="157">
        <f t="shared" si="38"/>
        <v>6.200000000000001</v>
      </c>
      <c r="I93" s="157">
        <f t="shared" si="38"/>
        <v>0</v>
      </c>
      <c r="J93" s="157">
        <f t="shared" si="38"/>
        <v>66.21500000000002</v>
      </c>
      <c r="K93" s="157">
        <f t="shared" si="38"/>
        <v>0</v>
      </c>
      <c r="L93" s="157">
        <f t="shared" si="38"/>
        <v>1.0209000000000001</v>
      </c>
      <c r="M93" s="157">
        <f t="shared" si="38"/>
        <v>0</v>
      </c>
      <c r="N93" s="157">
        <f t="shared" si="38"/>
        <v>33.10750000000001</v>
      </c>
      <c r="O93" s="157">
        <f t="shared" si="38"/>
        <v>0</v>
      </c>
      <c r="P93" s="157">
        <f t="shared" si="38"/>
        <v>0</v>
      </c>
      <c r="Q93" s="157">
        <f t="shared" si="38"/>
        <v>0</v>
      </c>
      <c r="R93" s="157">
        <f t="shared" si="38"/>
        <v>0</v>
      </c>
      <c r="S93" s="157">
        <f t="shared" si="38"/>
        <v>45.429</v>
      </c>
      <c r="T93" s="157">
        <f t="shared" si="38"/>
        <v>1</v>
      </c>
      <c r="U93" s="157">
        <f t="shared" si="38"/>
        <v>0.25</v>
      </c>
      <c r="V93" s="157">
        <f t="shared" si="38"/>
        <v>30.026452500000005</v>
      </c>
      <c r="W93" s="157">
        <f>W94+W133</f>
        <v>4782907420.45</v>
      </c>
      <c r="X93" s="157"/>
    </row>
    <row r="94" spans="1:24" s="77" customFormat="1" ht="16.5" customHeight="1">
      <c r="A94" s="493"/>
      <c r="B94" s="494" t="s">
        <v>86</v>
      </c>
      <c r="C94" s="495"/>
      <c r="D94" s="69">
        <f>SUM(D95:D132)</f>
        <v>336.07885249999987</v>
      </c>
      <c r="E94" s="69">
        <f aca="true" t="shared" si="39" ref="E94:V94">SUM(E95:E132)</f>
        <v>126.23000000000002</v>
      </c>
      <c r="F94" s="69">
        <f t="shared" si="39"/>
        <v>209.8488525</v>
      </c>
      <c r="G94" s="69">
        <f t="shared" si="39"/>
        <v>26.599999999999984</v>
      </c>
      <c r="H94" s="69">
        <f t="shared" si="39"/>
        <v>6.200000000000001</v>
      </c>
      <c r="I94" s="69">
        <f t="shared" si="39"/>
        <v>0</v>
      </c>
      <c r="J94" s="69">
        <f t="shared" si="39"/>
        <v>66.21500000000002</v>
      </c>
      <c r="K94" s="69">
        <f t="shared" si="39"/>
        <v>0</v>
      </c>
      <c r="L94" s="69">
        <f t="shared" si="39"/>
        <v>1.0209000000000001</v>
      </c>
      <c r="M94" s="69">
        <f t="shared" si="39"/>
        <v>0</v>
      </c>
      <c r="N94" s="69">
        <f t="shared" si="39"/>
        <v>33.10750000000001</v>
      </c>
      <c r="O94" s="69">
        <f t="shared" si="39"/>
        <v>0</v>
      </c>
      <c r="P94" s="69">
        <f t="shared" si="39"/>
        <v>0</v>
      </c>
      <c r="Q94" s="69">
        <f t="shared" si="39"/>
        <v>0</v>
      </c>
      <c r="R94" s="69">
        <f t="shared" si="39"/>
        <v>0</v>
      </c>
      <c r="S94" s="69">
        <f t="shared" si="39"/>
        <v>45.429</v>
      </c>
      <c r="T94" s="69">
        <f t="shared" si="39"/>
        <v>1</v>
      </c>
      <c r="U94" s="69">
        <f t="shared" si="39"/>
        <v>0.25</v>
      </c>
      <c r="V94" s="69">
        <f t="shared" si="39"/>
        <v>30.026452500000005</v>
      </c>
      <c r="W94" s="69">
        <f>SUM(W95:W132)</f>
        <v>4366465420.45</v>
      </c>
      <c r="X94" s="69"/>
    </row>
    <row r="95" spans="1:24" s="77" customFormat="1" ht="16.5" customHeight="1">
      <c r="A95" s="493">
        <v>1</v>
      </c>
      <c r="B95" s="496" t="s">
        <v>122</v>
      </c>
      <c r="C95" s="497"/>
      <c r="D95" s="70">
        <f>E95+F95</f>
        <v>13.453499999999998</v>
      </c>
      <c r="E95" s="70">
        <v>4.74</v>
      </c>
      <c r="F95" s="70">
        <f>SUM(G95:V95)</f>
        <v>8.713499999999998</v>
      </c>
      <c r="G95" s="70">
        <v>0.7</v>
      </c>
      <c r="H95" s="70">
        <v>0.8</v>
      </c>
      <c r="I95" s="70"/>
      <c r="J95" s="70">
        <f>(E95+H95)*50%</f>
        <v>2.77</v>
      </c>
      <c r="K95" s="70"/>
      <c r="L95" s="70"/>
      <c r="M95" s="70"/>
      <c r="N95" s="70">
        <f>(E95+H95)*0.25</f>
        <v>1.385</v>
      </c>
      <c r="O95" s="70"/>
      <c r="P95" s="70"/>
      <c r="Q95" s="70"/>
      <c r="R95" s="70"/>
      <c r="S95" s="70">
        <f>(E95+H95)*0.3+0.15</f>
        <v>1.8119999999999998</v>
      </c>
      <c r="T95" s="70"/>
      <c r="U95" s="70"/>
      <c r="V95" s="70">
        <f>(E95+H95)*22.5%</f>
        <v>1.2465</v>
      </c>
      <c r="W95" s="498">
        <f>D95*1490000*12</f>
        <v>240548579.99999994</v>
      </c>
      <c r="X95" s="70"/>
    </row>
    <row r="96" spans="1:24" s="77" customFormat="1" ht="16.5" customHeight="1">
      <c r="A96" s="493">
        <v>2</v>
      </c>
      <c r="B96" s="496" t="s">
        <v>47</v>
      </c>
      <c r="C96" s="497"/>
      <c r="D96" s="70">
        <f aca="true" t="shared" si="40" ref="D96:D132">E96+F96</f>
        <v>10.01825</v>
      </c>
      <c r="E96" s="70">
        <v>3.33</v>
      </c>
      <c r="F96" s="70">
        <f>SUM(G96:V96)</f>
        <v>6.68825</v>
      </c>
      <c r="G96" s="70">
        <v>0.7</v>
      </c>
      <c r="H96" s="70">
        <v>0.7</v>
      </c>
      <c r="I96" s="70"/>
      <c r="J96" s="70">
        <f aca="true" t="shared" si="41" ref="J96:J137">(E96+H96)*50%</f>
        <v>2.015</v>
      </c>
      <c r="K96" s="70"/>
      <c r="L96" s="70"/>
      <c r="M96" s="70"/>
      <c r="N96" s="70">
        <f aca="true" t="shared" si="42" ref="N96:N137">(E96+H96)*0.25</f>
        <v>1.0075</v>
      </c>
      <c r="O96" s="70"/>
      <c r="P96" s="70"/>
      <c r="Q96" s="70"/>
      <c r="R96" s="70"/>
      <c r="S96" s="70">
        <f>(E96+H96)*0.3+0.15</f>
        <v>1.359</v>
      </c>
      <c r="T96" s="70"/>
      <c r="U96" s="70"/>
      <c r="V96" s="70">
        <f aca="true" t="shared" si="43" ref="V96:V137">(E96+H96)*22.5%</f>
        <v>0.9067500000000001</v>
      </c>
      <c r="W96" s="498">
        <f>D96*1490000*12</f>
        <v>179126310</v>
      </c>
      <c r="X96" s="70"/>
    </row>
    <row r="97" spans="1:24" s="77" customFormat="1" ht="16.5" customHeight="1">
      <c r="A97" s="493">
        <v>3</v>
      </c>
      <c r="B97" s="499" t="s">
        <v>50</v>
      </c>
      <c r="C97" s="497"/>
      <c r="D97" s="70">
        <f t="shared" si="40"/>
        <v>16.02019</v>
      </c>
      <c r="E97" s="70">
        <v>5.76</v>
      </c>
      <c r="F97" s="70">
        <f>SUM(G97:V97)</f>
        <v>10.260189999999998</v>
      </c>
      <c r="G97" s="70">
        <v>0.7</v>
      </c>
      <c r="H97" s="70">
        <v>0.6</v>
      </c>
      <c r="I97" s="70"/>
      <c r="J97" s="70">
        <f t="shared" si="41"/>
        <v>3.1799999999999997</v>
      </c>
      <c r="K97" s="70"/>
      <c r="L97" s="70">
        <f>(E97+H97)*9%</f>
        <v>0.5723999999999999</v>
      </c>
      <c r="M97" s="70"/>
      <c r="N97" s="70">
        <f t="shared" si="42"/>
        <v>1.5899999999999999</v>
      </c>
      <c r="O97" s="70"/>
      <c r="P97" s="70"/>
      <c r="Q97" s="70"/>
      <c r="R97" s="70"/>
      <c r="S97" s="70">
        <f aca="true" t="shared" si="44" ref="S97:S132">(E97+H97)*0.3+0.15</f>
        <v>2.058</v>
      </c>
      <c r="T97" s="70"/>
      <c r="U97" s="70"/>
      <c r="V97" s="70">
        <f>(E97+H97+L97)*22.5%</f>
        <v>1.55979</v>
      </c>
      <c r="W97" s="498">
        <f>D97*1490000*12</f>
        <v>286440997.2</v>
      </c>
      <c r="X97" s="70"/>
    </row>
    <row r="98" spans="1:24" s="77" customFormat="1" ht="16.5" customHeight="1">
      <c r="A98" s="493">
        <v>4</v>
      </c>
      <c r="B98" s="499" t="s">
        <v>30</v>
      </c>
      <c r="C98" s="497"/>
      <c r="D98" s="70">
        <f t="shared" si="40"/>
        <v>11.42875</v>
      </c>
      <c r="E98" s="70">
        <v>4.4</v>
      </c>
      <c r="F98" s="70">
        <f>SUM(G98:V98)</f>
        <v>7.0287500000000005</v>
      </c>
      <c r="G98" s="70">
        <v>0.7</v>
      </c>
      <c r="H98" s="70">
        <v>0.25</v>
      </c>
      <c r="I98" s="70"/>
      <c r="J98" s="70">
        <f t="shared" si="41"/>
        <v>2.325</v>
      </c>
      <c r="K98" s="70"/>
      <c r="L98" s="70"/>
      <c r="M98" s="70"/>
      <c r="N98" s="70">
        <f t="shared" si="42"/>
        <v>1.1625</v>
      </c>
      <c r="O98" s="70"/>
      <c r="P98" s="70"/>
      <c r="Q98" s="70"/>
      <c r="R98" s="70"/>
      <c r="S98" s="70">
        <f t="shared" si="44"/>
        <v>1.545</v>
      </c>
      <c r="T98" s="70"/>
      <c r="U98" s="70"/>
      <c r="V98" s="70">
        <f t="shared" si="43"/>
        <v>1.0462500000000001</v>
      </c>
      <c r="W98" s="498">
        <f>D98*1490000*12</f>
        <v>204346050</v>
      </c>
      <c r="X98" s="70"/>
    </row>
    <row r="99" spans="1:24" s="77" customFormat="1" ht="16.5" customHeight="1">
      <c r="A99" s="632">
        <v>5</v>
      </c>
      <c r="B99" s="634" t="s">
        <v>120</v>
      </c>
      <c r="C99" s="497"/>
      <c r="D99" s="70">
        <f t="shared" si="40"/>
        <v>5.6274999999999995</v>
      </c>
      <c r="E99" s="70">
        <v>2.1</v>
      </c>
      <c r="F99" s="70">
        <f aca="true" t="shared" si="45" ref="F99:F132">SUM(G99:V99)</f>
        <v>3.5275</v>
      </c>
      <c r="G99" s="70">
        <v>0.7</v>
      </c>
      <c r="H99" s="70"/>
      <c r="I99" s="70"/>
      <c r="J99" s="70">
        <f t="shared" si="41"/>
        <v>1.05</v>
      </c>
      <c r="K99" s="70"/>
      <c r="L99" s="70"/>
      <c r="M99" s="70"/>
      <c r="N99" s="70">
        <f>(E99+H99)*0.25</f>
        <v>0.525</v>
      </c>
      <c r="O99" s="70"/>
      <c r="P99" s="70"/>
      <c r="Q99" s="70"/>
      <c r="R99" s="70"/>
      <c r="S99" s="70">
        <f t="shared" si="44"/>
        <v>0.78</v>
      </c>
      <c r="T99" s="70"/>
      <c r="U99" s="70"/>
      <c r="V99" s="70">
        <f t="shared" si="43"/>
        <v>0.47250000000000003</v>
      </c>
      <c r="W99" s="498">
        <f>D99*1490000*9</f>
        <v>75464774.99999999</v>
      </c>
      <c r="X99" s="70" t="s">
        <v>309</v>
      </c>
    </row>
    <row r="100" spans="1:24" s="501" customFormat="1" ht="25.5">
      <c r="A100" s="633"/>
      <c r="B100" s="635"/>
      <c r="C100" s="497"/>
      <c r="D100" s="70">
        <f t="shared" si="40"/>
        <v>6.332750000000001</v>
      </c>
      <c r="E100" s="70">
        <v>2.41</v>
      </c>
      <c r="F100" s="70">
        <f t="shared" si="45"/>
        <v>3.9227500000000006</v>
      </c>
      <c r="G100" s="70">
        <v>0.7</v>
      </c>
      <c r="H100" s="70"/>
      <c r="I100" s="70"/>
      <c r="J100" s="70">
        <f t="shared" si="41"/>
        <v>1.205</v>
      </c>
      <c r="K100" s="70"/>
      <c r="L100" s="70"/>
      <c r="M100" s="70"/>
      <c r="N100" s="70">
        <f t="shared" si="42"/>
        <v>0.6025</v>
      </c>
      <c r="O100" s="70"/>
      <c r="P100" s="70"/>
      <c r="Q100" s="70"/>
      <c r="R100" s="70"/>
      <c r="S100" s="70">
        <f t="shared" si="44"/>
        <v>0.873</v>
      </c>
      <c r="T100" s="70"/>
      <c r="U100" s="70"/>
      <c r="V100" s="70">
        <f t="shared" si="43"/>
        <v>0.54225</v>
      </c>
      <c r="W100" s="100">
        <f>D100*3*1490000</f>
        <v>28307392.500000004</v>
      </c>
      <c r="X100" s="500" t="s">
        <v>310</v>
      </c>
    </row>
    <row r="101" spans="1:24" s="501" customFormat="1" ht="15" customHeight="1">
      <c r="A101" s="632">
        <v>6</v>
      </c>
      <c r="B101" s="637" t="s">
        <v>119</v>
      </c>
      <c r="C101" s="497"/>
      <c r="D101" s="70">
        <f t="shared" si="40"/>
        <v>10.678</v>
      </c>
      <c r="E101" s="70">
        <v>4.32</v>
      </c>
      <c r="F101" s="70">
        <f t="shared" si="45"/>
        <v>6.3580000000000005</v>
      </c>
      <c r="G101" s="70">
        <v>0.7</v>
      </c>
      <c r="H101" s="70"/>
      <c r="I101" s="70"/>
      <c r="J101" s="70">
        <f t="shared" si="41"/>
        <v>2.16</v>
      </c>
      <c r="K101" s="70"/>
      <c r="L101" s="70"/>
      <c r="M101" s="70"/>
      <c r="N101" s="70">
        <f t="shared" si="42"/>
        <v>1.08</v>
      </c>
      <c r="O101" s="70"/>
      <c r="P101" s="70"/>
      <c r="Q101" s="70"/>
      <c r="R101" s="70"/>
      <c r="S101" s="70">
        <f t="shared" si="44"/>
        <v>1.446</v>
      </c>
      <c r="T101" s="70"/>
      <c r="U101" s="70"/>
      <c r="V101" s="70">
        <f t="shared" si="43"/>
        <v>0.9720000000000001</v>
      </c>
      <c r="W101" s="100">
        <f>D101*1490000*2</f>
        <v>31820440.000000004</v>
      </c>
      <c r="X101" s="500" t="s">
        <v>311</v>
      </c>
    </row>
    <row r="102" spans="1:24" s="501" customFormat="1" ht="30.75" customHeight="1">
      <c r="A102" s="636"/>
      <c r="B102" s="638"/>
      <c r="C102" s="497"/>
      <c r="D102" s="70">
        <f t="shared" si="40"/>
        <v>10.9426</v>
      </c>
      <c r="E102" s="70">
        <v>4.32</v>
      </c>
      <c r="F102" s="70">
        <f t="shared" si="45"/>
        <v>6.6226</v>
      </c>
      <c r="G102" s="70">
        <v>0.7</v>
      </c>
      <c r="H102" s="70"/>
      <c r="I102" s="70"/>
      <c r="J102" s="70">
        <f t="shared" si="41"/>
        <v>2.16</v>
      </c>
      <c r="K102" s="70"/>
      <c r="L102" s="70">
        <f>E102*5%</f>
        <v>0.21600000000000003</v>
      </c>
      <c r="M102" s="70"/>
      <c r="N102" s="70">
        <f t="shared" si="42"/>
        <v>1.08</v>
      </c>
      <c r="O102" s="70"/>
      <c r="P102" s="70"/>
      <c r="Q102" s="70"/>
      <c r="R102" s="70"/>
      <c r="S102" s="70">
        <f t="shared" si="44"/>
        <v>1.446</v>
      </c>
      <c r="T102" s="70"/>
      <c r="U102" s="70"/>
      <c r="V102" s="70">
        <f>(E102+H102+L102)*22.5%</f>
        <v>1.0206000000000002</v>
      </c>
      <c r="W102" s="100">
        <f>D102*1490000*8</f>
        <v>130435792</v>
      </c>
      <c r="X102" s="500" t="s">
        <v>312</v>
      </c>
    </row>
    <row r="103" spans="1:24" s="75" customFormat="1" ht="25.5">
      <c r="A103" s="633"/>
      <c r="B103" s="639"/>
      <c r="C103" s="70"/>
      <c r="D103" s="70">
        <f t="shared" si="40"/>
        <v>11.7135625</v>
      </c>
      <c r="E103" s="70">
        <v>4.65</v>
      </c>
      <c r="F103" s="70">
        <f t="shared" si="45"/>
        <v>7.0635625</v>
      </c>
      <c r="G103" s="70">
        <v>0.7</v>
      </c>
      <c r="H103" s="70"/>
      <c r="I103" s="70"/>
      <c r="J103" s="70">
        <f>(E103+H103)*50%</f>
        <v>2.325</v>
      </c>
      <c r="K103" s="70"/>
      <c r="L103" s="70">
        <f>E103*5%</f>
        <v>0.23250000000000004</v>
      </c>
      <c r="M103" s="70"/>
      <c r="N103" s="70">
        <f>(E103+H103)*0.25</f>
        <v>1.1625</v>
      </c>
      <c r="O103" s="70"/>
      <c r="P103" s="70"/>
      <c r="Q103" s="70"/>
      <c r="R103" s="70"/>
      <c r="S103" s="70">
        <f t="shared" si="44"/>
        <v>1.545</v>
      </c>
      <c r="T103" s="70"/>
      <c r="U103" s="70"/>
      <c r="V103" s="70">
        <f>(E103+H103+L103)*22.5%</f>
        <v>1.0985625</v>
      </c>
      <c r="W103" s="100">
        <f>D103*2*1490000</f>
        <v>34906416.25</v>
      </c>
      <c r="X103" s="502" t="s">
        <v>313</v>
      </c>
    </row>
    <row r="104" spans="1:24" s="75" customFormat="1" ht="15" customHeight="1">
      <c r="A104" s="632">
        <v>7</v>
      </c>
      <c r="B104" s="637" t="s">
        <v>118</v>
      </c>
      <c r="C104" s="70"/>
      <c r="D104" s="70">
        <f t="shared" si="40"/>
        <v>6.4465</v>
      </c>
      <c r="E104" s="70">
        <v>2.46</v>
      </c>
      <c r="F104" s="70">
        <f t="shared" si="45"/>
        <v>3.9865</v>
      </c>
      <c r="G104" s="70">
        <v>0.7</v>
      </c>
      <c r="H104" s="70"/>
      <c r="I104" s="70"/>
      <c r="J104" s="70">
        <f>(E104+H104)*50%</f>
        <v>1.23</v>
      </c>
      <c r="K104" s="70"/>
      <c r="L104" s="70"/>
      <c r="M104" s="70"/>
      <c r="N104" s="70">
        <f>(E104+H104)*0.25</f>
        <v>0.615</v>
      </c>
      <c r="O104" s="70"/>
      <c r="P104" s="70"/>
      <c r="Q104" s="70"/>
      <c r="R104" s="70"/>
      <c r="S104" s="70">
        <f t="shared" si="44"/>
        <v>0.888</v>
      </c>
      <c r="T104" s="70"/>
      <c r="U104" s="70"/>
      <c r="V104" s="70">
        <f>(E104+H104+L104)*22.5%</f>
        <v>0.5535</v>
      </c>
      <c r="W104" s="100">
        <f>D104*1490000*9</f>
        <v>86447565</v>
      </c>
      <c r="X104" s="502" t="s">
        <v>309</v>
      </c>
    </row>
    <row r="105" spans="1:24" s="75" customFormat="1" ht="25.5">
      <c r="A105" s="633"/>
      <c r="B105" s="639"/>
      <c r="C105" s="70"/>
      <c r="D105" s="70">
        <f t="shared" si="40"/>
        <v>6.9015</v>
      </c>
      <c r="E105" s="70">
        <v>2.66</v>
      </c>
      <c r="F105" s="70">
        <f t="shared" si="45"/>
        <v>4.2415</v>
      </c>
      <c r="G105" s="70">
        <v>0.7</v>
      </c>
      <c r="H105" s="70"/>
      <c r="I105" s="70"/>
      <c r="J105" s="70">
        <f t="shared" si="41"/>
        <v>1.33</v>
      </c>
      <c r="K105" s="70"/>
      <c r="L105" s="70"/>
      <c r="M105" s="70"/>
      <c r="N105" s="70">
        <f t="shared" si="42"/>
        <v>0.665</v>
      </c>
      <c r="O105" s="70"/>
      <c r="P105" s="70"/>
      <c r="Q105" s="70"/>
      <c r="R105" s="70"/>
      <c r="S105" s="70">
        <f t="shared" si="44"/>
        <v>0.9480000000000001</v>
      </c>
      <c r="T105" s="70"/>
      <c r="U105" s="70"/>
      <c r="V105" s="70">
        <f t="shared" si="43"/>
        <v>0.5985</v>
      </c>
      <c r="W105" s="100">
        <f>D105*3*1490000</f>
        <v>30849705.000000004</v>
      </c>
      <c r="X105" s="500" t="s">
        <v>310</v>
      </c>
    </row>
    <row r="106" spans="1:24" s="75" customFormat="1" ht="15">
      <c r="A106" s="72">
        <v>8</v>
      </c>
      <c r="B106" s="499" t="s">
        <v>49</v>
      </c>
      <c r="C106" s="70"/>
      <c r="D106" s="70">
        <f t="shared" si="40"/>
        <v>13.772</v>
      </c>
      <c r="E106" s="70">
        <v>5.08</v>
      </c>
      <c r="F106" s="70">
        <f t="shared" si="45"/>
        <v>8.692</v>
      </c>
      <c r="G106" s="70">
        <v>0.7</v>
      </c>
      <c r="H106" s="70">
        <v>0.6</v>
      </c>
      <c r="I106" s="70"/>
      <c r="J106" s="70">
        <f t="shared" si="41"/>
        <v>2.84</v>
      </c>
      <c r="K106" s="70"/>
      <c r="L106" s="70"/>
      <c r="M106" s="70"/>
      <c r="N106" s="70">
        <f t="shared" si="42"/>
        <v>1.42</v>
      </c>
      <c r="O106" s="70"/>
      <c r="P106" s="70"/>
      <c r="Q106" s="70"/>
      <c r="R106" s="70"/>
      <c r="S106" s="70">
        <f t="shared" si="44"/>
        <v>1.8539999999999999</v>
      </c>
      <c r="T106" s="70"/>
      <c r="U106" s="70"/>
      <c r="V106" s="70">
        <f t="shared" si="43"/>
        <v>1.278</v>
      </c>
      <c r="W106" s="100">
        <f aca="true" t="shared" si="46" ref="W106:W112">D106*1490000*12</f>
        <v>246243360</v>
      </c>
      <c r="X106" s="500"/>
    </row>
    <row r="107" spans="1:24" s="75" customFormat="1" ht="15">
      <c r="A107" s="72">
        <v>9</v>
      </c>
      <c r="B107" s="499" t="s">
        <v>116</v>
      </c>
      <c r="C107" s="70"/>
      <c r="D107" s="70">
        <f t="shared" si="40"/>
        <v>9.631499999999999</v>
      </c>
      <c r="E107" s="70">
        <v>3.66</v>
      </c>
      <c r="F107" s="70">
        <f t="shared" si="45"/>
        <v>5.9715</v>
      </c>
      <c r="G107" s="70">
        <v>0.7</v>
      </c>
      <c r="H107" s="70">
        <v>0.2</v>
      </c>
      <c r="I107" s="70"/>
      <c r="J107" s="70">
        <f t="shared" si="41"/>
        <v>1.9300000000000002</v>
      </c>
      <c r="K107" s="70"/>
      <c r="L107" s="70"/>
      <c r="M107" s="70"/>
      <c r="N107" s="70">
        <f t="shared" si="42"/>
        <v>0.9650000000000001</v>
      </c>
      <c r="O107" s="70"/>
      <c r="P107" s="70"/>
      <c r="Q107" s="70"/>
      <c r="R107" s="70"/>
      <c r="S107" s="70">
        <f t="shared" si="44"/>
        <v>1.308</v>
      </c>
      <c r="T107" s="70"/>
      <c r="U107" s="70"/>
      <c r="V107" s="70">
        <f t="shared" si="43"/>
        <v>0.8685</v>
      </c>
      <c r="W107" s="100">
        <f t="shared" si="46"/>
        <v>172211219.99999997</v>
      </c>
      <c r="X107" s="500"/>
    </row>
    <row r="108" spans="1:24" s="75" customFormat="1" ht="15">
      <c r="A108" s="72">
        <v>10</v>
      </c>
      <c r="B108" s="499" t="s">
        <v>39</v>
      </c>
      <c r="C108" s="70"/>
      <c r="D108" s="70">
        <f t="shared" si="40"/>
        <v>10.496</v>
      </c>
      <c r="E108" s="70">
        <v>3.99</v>
      </c>
      <c r="F108" s="70">
        <f t="shared" si="45"/>
        <v>6.506</v>
      </c>
      <c r="G108" s="70">
        <v>0.7</v>
      </c>
      <c r="H108" s="70">
        <v>0.25</v>
      </c>
      <c r="I108" s="70"/>
      <c r="J108" s="70">
        <f t="shared" si="41"/>
        <v>2.12</v>
      </c>
      <c r="K108" s="70"/>
      <c r="L108" s="70"/>
      <c r="M108" s="70"/>
      <c r="N108" s="70">
        <f t="shared" si="42"/>
        <v>1.06</v>
      </c>
      <c r="O108" s="70"/>
      <c r="P108" s="70"/>
      <c r="Q108" s="70"/>
      <c r="R108" s="70"/>
      <c r="S108" s="70">
        <f t="shared" si="44"/>
        <v>1.422</v>
      </c>
      <c r="T108" s="70"/>
      <c r="U108" s="70"/>
      <c r="V108" s="70">
        <f t="shared" si="43"/>
        <v>0.9540000000000001</v>
      </c>
      <c r="W108" s="100">
        <f t="shared" si="46"/>
        <v>187668480</v>
      </c>
      <c r="X108" s="500"/>
    </row>
    <row r="109" spans="1:24" s="75" customFormat="1" ht="15">
      <c r="A109" s="72">
        <v>11</v>
      </c>
      <c r="B109" s="499" t="s">
        <v>109</v>
      </c>
      <c r="C109" s="70"/>
      <c r="D109" s="70">
        <f t="shared" si="40"/>
        <v>6.92425</v>
      </c>
      <c r="E109" s="70">
        <v>2.67</v>
      </c>
      <c r="F109" s="70">
        <f t="shared" si="45"/>
        <v>4.25425</v>
      </c>
      <c r="G109" s="70">
        <v>0.7</v>
      </c>
      <c r="H109" s="70"/>
      <c r="I109" s="70"/>
      <c r="J109" s="70">
        <f t="shared" si="41"/>
        <v>1.335</v>
      </c>
      <c r="K109" s="70"/>
      <c r="L109" s="70"/>
      <c r="M109" s="70"/>
      <c r="N109" s="70">
        <f t="shared" si="42"/>
        <v>0.6675</v>
      </c>
      <c r="O109" s="70"/>
      <c r="P109" s="70"/>
      <c r="Q109" s="70"/>
      <c r="R109" s="70"/>
      <c r="S109" s="70">
        <f t="shared" si="44"/>
        <v>0.951</v>
      </c>
      <c r="T109" s="70"/>
      <c r="U109" s="70"/>
      <c r="V109" s="70">
        <f t="shared" si="43"/>
        <v>0.60075</v>
      </c>
      <c r="W109" s="100">
        <f t="shared" si="46"/>
        <v>123805590</v>
      </c>
      <c r="X109" s="500"/>
    </row>
    <row r="110" spans="1:24" s="75" customFormat="1" ht="15">
      <c r="A110" s="72">
        <v>12</v>
      </c>
      <c r="B110" s="499" t="s">
        <v>37</v>
      </c>
      <c r="C110" s="70"/>
      <c r="D110" s="70">
        <f t="shared" si="40"/>
        <v>10.18375</v>
      </c>
      <c r="E110" s="70">
        <v>3.33</v>
      </c>
      <c r="F110" s="70">
        <f t="shared" si="45"/>
        <v>6.853749999999999</v>
      </c>
      <c r="G110" s="70">
        <v>0.7</v>
      </c>
      <c r="H110" s="70">
        <v>0.6</v>
      </c>
      <c r="I110" s="70"/>
      <c r="J110" s="70">
        <f t="shared" si="41"/>
        <v>1.965</v>
      </c>
      <c r="K110" s="70"/>
      <c r="L110" s="70"/>
      <c r="M110" s="70"/>
      <c r="N110" s="70">
        <f t="shared" si="42"/>
        <v>0.9825</v>
      </c>
      <c r="O110" s="70"/>
      <c r="P110" s="70"/>
      <c r="Q110" s="70"/>
      <c r="R110" s="70"/>
      <c r="S110" s="70">
        <f t="shared" si="44"/>
        <v>1.329</v>
      </c>
      <c r="T110" s="70">
        <f>(E110+H110)*10%</f>
        <v>0.393</v>
      </c>
      <c r="U110" s="70"/>
      <c r="V110" s="70">
        <f t="shared" si="43"/>
        <v>0.8842500000000001</v>
      </c>
      <c r="W110" s="100">
        <f t="shared" si="46"/>
        <v>182085450</v>
      </c>
      <c r="X110" s="500"/>
    </row>
    <row r="111" spans="1:24" s="75" customFormat="1" ht="15">
      <c r="A111" s="72">
        <v>13</v>
      </c>
      <c r="B111" s="499" t="s">
        <v>41</v>
      </c>
      <c r="C111" s="70"/>
      <c r="D111" s="70">
        <f t="shared" si="40"/>
        <v>8.880749999999999</v>
      </c>
      <c r="E111" s="70">
        <v>3.33</v>
      </c>
      <c r="F111" s="70">
        <f t="shared" si="45"/>
        <v>5.55075</v>
      </c>
      <c r="G111" s="70">
        <v>0.7</v>
      </c>
      <c r="H111" s="70">
        <v>0.2</v>
      </c>
      <c r="I111" s="70"/>
      <c r="J111" s="70">
        <f t="shared" si="41"/>
        <v>1.7650000000000001</v>
      </c>
      <c r="K111" s="70"/>
      <c r="L111" s="70"/>
      <c r="M111" s="70"/>
      <c r="N111" s="70">
        <f t="shared" si="42"/>
        <v>0.8825000000000001</v>
      </c>
      <c r="O111" s="70"/>
      <c r="P111" s="70"/>
      <c r="Q111" s="70"/>
      <c r="R111" s="70"/>
      <c r="S111" s="70">
        <f t="shared" si="44"/>
        <v>1.2089999999999999</v>
      </c>
      <c r="T111" s="70"/>
      <c r="U111" s="70"/>
      <c r="V111" s="70">
        <f t="shared" si="43"/>
        <v>0.7942500000000001</v>
      </c>
      <c r="W111" s="100">
        <f t="shared" si="46"/>
        <v>158787809.99999997</v>
      </c>
      <c r="X111" s="500"/>
    </row>
    <row r="112" spans="1:24" s="75" customFormat="1" ht="15">
      <c r="A112" s="72">
        <v>14</v>
      </c>
      <c r="B112" s="499" t="s">
        <v>113</v>
      </c>
      <c r="C112" s="70"/>
      <c r="D112" s="70">
        <f t="shared" si="40"/>
        <v>10.56425</v>
      </c>
      <c r="E112" s="70">
        <v>4.27</v>
      </c>
      <c r="F112" s="70">
        <f t="shared" si="45"/>
        <v>6.29425</v>
      </c>
      <c r="G112" s="70">
        <v>0.7</v>
      </c>
      <c r="H112" s="70"/>
      <c r="I112" s="70"/>
      <c r="J112" s="70">
        <f t="shared" si="41"/>
        <v>2.135</v>
      </c>
      <c r="K112" s="70"/>
      <c r="L112" s="70"/>
      <c r="M112" s="70"/>
      <c r="N112" s="70">
        <f t="shared" si="42"/>
        <v>1.0675</v>
      </c>
      <c r="O112" s="70"/>
      <c r="P112" s="70"/>
      <c r="Q112" s="70"/>
      <c r="R112" s="70"/>
      <c r="S112" s="70">
        <f t="shared" si="44"/>
        <v>1.4309999999999998</v>
      </c>
      <c r="T112" s="70"/>
      <c r="U112" s="70"/>
      <c r="V112" s="70">
        <f t="shared" si="43"/>
        <v>0.9607499999999999</v>
      </c>
      <c r="W112" s="100">
        <f t="shared" si="46"/>
        <v>188888790</v>
      </c>
      <c r="X112" s="500"/>
    </row>
    <row r="113" spans="1:24" s="75" customFormat="1" ht="15">
      <c r="A113" s="72">
        <v>15</v>
      </c>
      <c r="B113" s="499" t="s">
        <v>115</v>
      </c>
      <c r="C113" s="70"/>
      <c r="D113" s="70">
        <f t="shared" si="40"/>
        <v>6.92425</v>
      </c>
      <c r="E113" s="70">
        <v>2.67</v>
      </c>
      <c r="F113" s="70">
        <f t="shared" si="45"/>
        <v>4.25425</v>
      </c>
      <c r="G113" s="70">
        <v>0.7</v>
      </c>
      <c r="H113" s="70"/>
      <c r="I113" s="70"/>
      <c r="J113" s="70">
        <f t="shared" si="41"/>
        <v>1.335</v>
      </c>
      <c r="K113" s="70"/>
      <c r="L113" s="70"/>
      <c r="M113" s="70"/>
      <c r="N113" s="70">
        <f t="shared" si="42"/>
        <v>0.6675</v>
      </c>
      <c r="O113" s="70"/>
      <c r="P113" s="70"/>
      <c r="Q113" s="70"/>
      <c r="R113" s="70"/>
      <c r="S113" s="70">
        <f t="shared" si="44"/>
        <v>0.951</v>
      </c>
      <c r="T113" s="70"/>
      <c r="U113" s="70"/>
      <c r="V113" s="70">
        <f t="shared" si="43"/>
        <v>0.60075</v>
      </c>
      <c r="W113" s="100">
        <f>D113*1490000*3</f>
        <v>30951397.5</v>
      </c>
      <c r="X113" s="500" t="s">
        <v>314</v>
      </c>
    </row>
    <row r="114" spans="1:24" s="75" customFormat="1" ht="15" customHeight="1">
      <c r="A114" s="632">
        <v>16</v>
      </c>
      <c r="B114" s="640" t="s">
        <v>58</v>
      </c>
      <c r="C114" s="70"/>
      <c r="D114" s="70">
        <f t="shared" si="40"/>
        <v>7.379250000000001</v>
      </c>
      <c r="E114" s="70">
        <v>2.67</v>
      </c>
      <c r="F114" s="70">
        <f t="shared" si="45"/>
        <v>4.709250000000001</v>
      </c>
      <c r="G114" s="70">
        <v>0.7</v>
      </c>
      <c r="H114" s="70">
        <v>0.2</v>
      </c>
      <c r="I114" s="70"/>
      <c r="J114" s="70">
        <f t="shared" si="41"/>
        <v>1.435</v>
      </c>
      <c r="K114" s="70"/>
      <c r="L114" s="70"/>
      <c r="M114" s="70"/>
      <c r="N114" s="70">
        <f t="shared" si="42"/>
        <v>0.7175</v>
      </c>
      <c r="O114" s="70"/>
      <c r="P114" s="70"/>
      <c r="Q114" s="70"/>
      <c r="R114" s="70"/>
      <c r="S114" s="70">
        <f t="shared" si="44"/>
        <v>1.011</v>
      </c>
      <c r="T114" s="70"/>
      <c r="U114" s="70"/>
      <c r="V114" s="70">
        <f t="shared" si="43"/>
        <v>0.64575</v>
      </c>
      <c r="W114" s="100">
        <f>D114*1490000*3</f>
        <v>32985247.500000007</v>
      </c>
      <c r="X114" s="500" t="s">
        <v>314</v>
      </c>
    </row>
    <row r="115" spans="1:24" s="75" customFormat="1" ht="27.75" customHeight="1">
      <c r="A115" s="636"/>
      <c r="B115" s="638"/>
      <c r="C115" s="70"/>
      <c r="D115" s="70">
        <f t="shared" si="40"/>
        <v>7.66625</v>
      </c>
      <c r="E115" s="70">
        <v>2.67</v>
      </c>
      <c r="F115" s="70">
        <f t="shared" si="45"/>
        <v>4.99625</v>
      </c>
      <c r="G115" s="70">
        <v>0.7</v>
      </c>
      <c r="H115" s="70">
        <v>0.2</v>
      </c>
      <c r="I115" s="70"/>
      <c r="J115" s="70">
        <f t="shared" si="41"/>
        <v>1.435</v>
      </c>
      <c r="K115" s="70"/>
      <c r="L115" s="70"/>
      <c r="M115" s="70"/>
      <c r="N115" s="70">
        <f t="shared" si="42"/>
        <v>0.7175</v>
      </c>
      <c r="O115" s="70"/>
      <c r="P115" s="70"/>
      <c r="Q115" s="70"/>
      <c r="R115" s="70"/>
      <c r="S115" s="70">
        <f t="shared" si="44"/>
        <v>1.011</v>
      </c>
      <c r="T115" s="70">
        <f>(E115+H115)*10%</f>
        <v>0.28700000000000003</v>
      </c>
      <c r="U115" s="70"/>
      <c r="V115" s="70">
        <f t="shared" si="43"/>
        <v>0.64575</v>
      </c>
      <c r="W115" s="100">
        <f>D115*1490000*8</f>
        <v>91381700</v>
      </c>
      <c r="X115" s="500" t="s">
        <v>315</v>
      </c>
    </row>
    <row r="116" spans="1:24" s="75" customFormat="1" ht="25.5">
      <c r="A116" s="633"/>
      <c r="B116" s="639"/>
      <c r="C116" s="70"/>
      <c r="D116" s="70">
        <f t="shared" si="40"/>
        <v>8.45</v>
      </c>
      <c r="E116" s="70">
        <v>3</v>
      </c>
      <c r="F116" s="70">
        <f t="shared" si="45"/>
        <v>5.45</v>
      </c>
      <c r="G116" s="70">
        <v>0.7</v>
      </c>
      <c r="H116" s="70">
        <v>0.2</v>
      </c>
      <c r="I116" s="70"/>
      <c r="J116" s="70">
        <f t="shared" si="41"/>
        <v>1.6</v>
      </c>
      <c r="K116" s="70"/>
      <c r="L116" s="70"/>
      <c r="M116" s="70"/>
      <c r="N116" s="70">
        <f t="shared" si="42"/>
        <v>0.8</v>
      </c>
      <c r="O116" s="70"/>
      <c r="P116" s="70"/>
      <c r="Q116" s="70"/>
      <c r="R116" s="70"/>
      <c r="S116" s="70">
        <f t="shared" si="44"/>
        <v>1.1099999999999999</v>
      </c>
      <c r="T116" s="70">
        <f>(E116+H116)*10%</f>
        <v>0.32000000000000006</v>
      </c>
      <c r="U116" s="70"/>
      <c r="V116" s="70">
        <f t="shared" si="43"/>
        <v>0.7200000000000001</v>
      </c>
      <c r="W116" s="100">
        <f>D116*1490000</f>
        <v>12590499.999999998</v>
      </c>
      <c r="X116" s="502" t="s">
        <v>316</v>
      </c>
    </row>
    <row r="117" spans="1:24" s="75" customFormat="1" ht="12.75">
      <c r="A117" s="72">
        <v>17</v>
      </c>
      <c r="B117" s="503" t="s">
        <v>36</v>
      </c>
      <c r="C117" s="70"/>
      <c r="D117" s="70">
        <f t="shared" si="40"/>
        <v>11.883750000000001</v>
      </c>
      <c r="E117" s="70">
        <v>4.65</v>
      </c>
      <c r="F117" s="70">
        <f t="shared" si="45"/>
        <v>7.233750000000001</v>
      </c>
      <c r="G117" s="70">
        <v>0.7</v>
      </c>
      <c r="H117" s="70">
        <v>0.2</v>
      </c>
      <c r="I117" s="70"/>
      <c r="J117" s="70">
        <f t="shared" si="41"/>
        <v>2.4250000000000003</v>
      </c>
      <c r="K117" s="70"/>
      <c r="L117" s="70"/>
      <c r="M117" s="70"/>
      <c r="N117" s="70">
        <f t="shared" si="42"/>
        <v>1.2125000000000001</v>
      </c>
      <c r="O117" s="70"/>
      <c r="P117" s="70"/>
      <c r="Q117" s="70"/>
      <c r="R117" s="70"/>
      <c r="S117" s="70">
        <f t="shared" si="44"/>
        <v>1.605</v>
      </c>
      <c r="T117" s="70"/>
      <c r="U117" s="70"/>
      <c r="V117" s="70">
        <f t="shared" si="43"/>
        <v>1.09125</v>
      </c>
      <c r="W117" s="100">
        <f>D117*1490000*3</f>
        <v>53120362.5</v>
      </c>
      <c r="X117" s="502" t="s">
        <v>314</v>
      </c>
    </row>
    <row r="118" spans="1:24" s="75" customFormat="1" ht="12.75">
      <c r="A118" s="72">
        <v>18</v>
      </c>
      <c r="B118" s="504" t="s">
        <v>38</v>
      </c>
      <c r="C118" s="70"/>
      <c r="D118" s="70">
        <f t="shared" si="40"/>
        <v>10.5415</v>
      </c>
      <c r="E118" s="70">
        <v>3.96</v>
      </c>
      <c r="F118" s="70">
        <f t="shared" si="45"/>
        <v>6.5815</v>
      </c>
      <c r="G118" s="70">
        <v>0.7</v>
      </c>
      <c r="H118" s="70">
        <v>0.3</v>
      </c>
      <c r="I118" s="70"/>
      <c r="J118" s="70">
        <f t="shared" si="41"/>
        <v>2.13</v>
      </c>
      <c r="K118" s="70"/>
      <c r="L118" s="70"/>
      <c r="M118" s="70"/>
      <c r="N118" s="70">
        <f t="shared" si="42"/>
        <v>1.065</v>
      </c>
      <c r="O118" s="70"/>
      <c r="P118" s="70"/>
      <c r="Q118" s="70"/>
      <c r="R118" s="70"/>
      <c r="S118" s="70">
        <f t="shared" si="44"/>
        <v>1.4279999999999997</v>
      </c>
      <c r="T118" s="70"/>
      <c r="U118" s="70"/>
      <c r="V118" s="70">
        <f t="shared" si="43"/>
        <v>0.9585</v>
      </c>
      <c r="W118" s="100">
        <f>D118*1490000*9</f>
        <v>141361514.99999997</v>
      </c>
      <c r="X118" s="502" t="s">
        <v>317</v>
      </c>
    </row>
    <row r="119" spans="1:24" s="75" customFormat="1" ht="15" customHeight="1">
      <c r="A119" s="72">
        <v>19</v>
      </c>
      <c r="B119" s="505" t="s">
        <v>121</v>
      </c>
      <c r="C119" s="70"/>
      <c r="D119" s="70">
        <f t="shared" si="40"/>
        <v>9.859</v>
      </c>
      <c r="E119" s="70">
        <v>3.66</v>
      </c>
      <c r="F119" s="70">
        <f t="shared" si="45"/>
        <v>6.199</v>
      </c>
      <c r="G119" s="70">
        <v>0.7</v>
      </c>
      <c r="H119" s="70">
        <v>0.3</v>
      </c>
      <c r="I119" s="70"/>
      <c r="J119" s="70">
        <f t="shared" si="41"/>
        <v>1.98</v>
      </c>
      <c r="K119" s="70"/>
      <c r="L119" s="70"/>
      <c r="M119" s="70"/>
      <c r="N119" s="70">
        <f t="shared" si="42"/>
        <v>0.99</v>
      </c>
      <c r="O119" s="70"/>
      <c r="P119" s="70"/>
      <c r="Q119" s="70"/>
      <c r="R119" s="70"/>
      <c r="S119" s="70">
        <f t="shared" si="44"/>
        <v>1.3379999999999999</v>
      </c>
      <c r="T119" s="70"/>
      <c r="U119" s="70"/>
      <c r="V119" s="70">
        <f t="shared" si="43"/>
        <v>0.891</v>
      </c>
      <c r="W119" s="100">
        <f>D119*1490000*12</f>
        <v>176278920</v>
      </c>
      <c r="X119" s="502"/>
    </row>
    <row r="120" spans="1:24" s="75" customFormat="1" ht="12.75">
      <c r="A120" s="72">
        <v>20</v>
      </c>
      <c r="B120" s="503" t="s">
        <v>111</v>
      </c>
      <c r="C120" s="70"/>
      <c r="D120" s="70">
        <f t="shared" si="40"/>
        <v>8.129999999999999</v>
      </c>
      <c r="E120" s="70">
        <v>3</v>
      </c>
      <c r="F120" s="70">
        <f t="shared" si="45"/>
        <v>5.13</v>
      </c>
      <c r="G120" s="70">
        <v>0.7</v>
      </c>
      <c r="H120" s="70">
        <v>0.2</v>
      </c>
      <c r="I120" s="70"/>
      <c r="J120" s="70">
        <f t="shared" si="41"/>
        <v>1.6</v>
      </c>
      <c r="K120" s="70"/>
      <c r="L120" s="70"/>
      <c r="M120" s="70"/>
      <c r="N120" s="70">
        <f t="shared" si="42"/>
        <v>0.8</v>
      </c>
      <c r="O120" s="70"/>
      <c r="P120" s="70"/>
      <c r="Q120" s="70"/>
      <c r="R120" s="70"/>
      <c r="S120" s="70">
        <f t="shared" si="44"/>
        <v>1.1099999999999999</v>
      </c>
      <c r="T120" s="70"/>
      <c r="U120" s="70"/>
      <c r="V120" s="70">
        <f t="shared" si="43"/>
        <v>0.7200000000000001</v>
      </c>
      <c r="W120" s="100">
        <f>D120*1490000*12</f>
        <v>145364399.99999997</v>
      </c>
      <c r="X120" s="502"/>
    </row>
    <row r="121" spans="1:24" s="75" customFormat="1" ht="24" customHeight="1">
      <c r="A121" s="632">
        <v>21</v>
      </c>
      <c r="B121" s="637" t="s">
        <v>112</v>
      </c>
      <c r="C121" s="70"/>
      <c r="D121" s="70">
        <f t="shared" si="40"/>
        <v>8.880749999999999</v>
      </c>
      <c r="E121" s="70">
        <v>3.33</v>
      </c>
      <c r="F121" s="70">
        <f t="shared" si="45"/>
        <v>5.55075</v>
      </c>
      <c r="G121" s="70">
        <v>0.7</v>
      </c>
      <c r="H121" s="70">
        <v>0.2</v>
      </c>
      <c r="I121" s="70"/>
      <c r="J121" s="70">
        <f t="shared" si="41"/>
        <v>1.7650000000000001</v>
      </c>
      <c r="K121" s="70"/>
      <c r="L121" s="70"/>
      <c r="M121" s="70"/>
      <c r="N121" s="70">
        <f t="shared" si="42"/>
        <v>0.8825000000000001</v>
      </c>
      <c r="O121" s="70"/>
      <c r="P121" s="70"/>
      <c r="Q121" s="70"/>
      <c r="R121" s="70"/>
      <c r="S121" s="70">
        <f t="shared" si="44"/>
        <v>1.2089999999999999</v>
      </c>
      <c r="T121" s="70"/>
      <c r="U121" s="70"/>
      <c r="V121" s="70">
        <f t="shared" si="43"/>
        <v>0.7942500000000001</v>
      </c>
      <c r="W121" s="100">
        <f>D121*1490000*10</f>
        <v>132323174.99999999</v>
      </c>
      <c r="X121" s="502" t="s">
        <v>318</v>
      </c>
    </row>
    <row r="122" spans="1:24" s="75" customFormat="1" ht="30.75" customHeight="1">
      <c r="A122" s="633"/>
      <c r="B122" s="639"/>
      <c r="C122" s="70"/>
      <c r="D122" s="70">
        <f t="shared" si="40"/>
        <v>9.631499999999999</v>
      </c>
      <c r="E122" s="70">
        <v>3.66</v>
      </c>
      <c r="F122" s="70">
        <f t="shared" si="45"/>
        <v>5.9715</v>
      </c>
      <c r="G122" s="70">
        <v>0.7</v>
      </c>
      <c r="H122" s="70">
        <v>0.2</v>
      </c>
      <c r="I122" s="70"/>
      <c r="J122" s="70">
        <f t="shared" si="41"/>
        <v>1.9300000000000002</v>
      </c>
      <c r="K122" s="70"/>
      <c r="L122" s="70"/>
      <c r="M122" s="70"/>
      <c r="N122" s="70">
        <f t="shared" si="42"/>
        <v>0.9650000000000001</v>
      </c>
      <c r="O122" s="70"/>
      <c r="P122" s="70"/>
      <c r="Q122" s="70"/>
      <c r="R122" s="70"/>
      <c r="S122" s="70">
        <f t="shared" si="44"/>
        <v>1.308</v>
      </c>
      <c r="T122" s="70"/>
      <c r="U122" s="70"/>
      <c r="V122" s="70">
        <f t="shared" si="43"/>
        <v>0.8685</v>
      </c>
      <c r="W122" s="100">
        <f>D122*2*1490000</f>
        <v>28701869.999999996</v>
      </c>
      <c r="X122" s="502" t="s">
        <v>319</v>
      </c>
    </row>
    <row r="123" spans="1:24" s="75" customFormat="1" ht="12.75">
      <c r="A123" s="72">
        <v>22</v>
      </c>
      <c r="B123" s="503" t="s">
        <v>110</v>
      </c>
      <c r="C123" s="70"/>
      <c r="D123" s="70">
        <f t="shared" si="40"/>
        <v>7.12425</v>
      </c>
      <c r="E123" s="70">
        <v>2.67</v>
      </c>
      <c r="F123" s="70">
        <f t="shared" si="45"/>
        <v>4.45425</v>
      </c>
      <c r="G123" s="70">
        <v>0.7</v>
      </c>
      <c r="H123" s="70"/>
      <c r="I123" s="70"/>
      <c r="J123" s="70">
        <f t="shared" si="41"/>
        <v>1.335</v>
      </c>
      <c r="K123" s="70"/>
      <c r="L123" s="70"/>
      <c r="M123" s="70"/>
      <c r="N123" s="70">
        <f t="shared" si="42"/>
        <v>0.6675</v>
      </c>
      <c r="O123" s="70"/>
      <c r="P123" s="70"/>
      <c r="Q123" s="70"/>
      <c r="R123" s="70"/>
      <c r="S123" s="70">
        <f t="shared" si="44"/>
        <v>0.951</v>
      </c>
      <c r="T123" s="70"/>
      <c r="U123" s="70">
        <v>0.2</v>
      </c>
      <c r="V123" s="70">
        <f t="shared" si="43"/>
        <v>0.60075</v>
      </c>
      <c r="W123" s="100">
        <f>D123*1490000*8</f>
        <v>84921060</v>
      </c>
      <c r="X123" s="502" t="s">
        <v>320</v>
      </c>
    </row>
    <row r="124" spans="1:24" s="75" customFormat="1" ht="15">
      <c r="A124" s="72">
        <v>23</v>
      </c>
      <c r="B124" s="499" t="s">
        <v>108</v>
      </c>
      <c r="C124" s="70"/>
      <c r="D124" s="70">
        <f t="shared" si="40"/>
        <v>6.92425</v>
      </c>
      <c r="E124" s="70">
        <v>2.67</v>
      </c>
      <c r="F124" s="70">
        <f t="shared" si="45"/>
        <v>4.25425</v>
      </c>
      <c r="G124" s="70">
        <v>0.7</v>
      </c>
      <c r="H124" s="70"/>
      <c r="I124" s="70"/>
      <c r="J124" s="70">
        <f t="shared" si="41"/>
        <v>1.335</v>
      </c>
      <c r="K124" s="70"/>
      <c r="L124" s="70"/>
      <c r="M124" s="70"/>
      <c r="N124" s="70">
        <f t="shared" si="42"/>
        <v>0.6675</v>
      </c>
      <c r="O124" s="70"/>
      <c r="P124" s="70"/>
      <c r="Q124" s="70"/>
      <c r="R124" s="70"/>
      <c r="S124" s="70">
        <f t="shared" si="44"/>
        <v>0.951</v>
      </c>
      <c r="T124" s="70"/>
      <c r="U124" s="70"/>
      <c r="V124" s="70">
        <f t="shared" si="43"/>
        <v>0.60075</v>
      </c>
      <c r="W124" s="100">
        <f aca="true" t="shared" si="47" ref="W124:W129">D124*1490000*12</f>
        <v>123805590</v>
      </c>
      <c r="X124" s="502"/>
    </row>
    <row r="125" spans="1:24" s="75" customFormat="1" ht="15">
      <c r="A125" s="72">
        <v>24</v>
      </c>
      <c r="B125" s="499" t="s">
        <v>107</v>
      </c>
      <c r="C125" s="70"/>
      <c r="D125" s="70">
        <f t="shared" si="40"/>
        <v>6.1735</v>
      </c>
      <c r="E125" s="70">
        <v>2.34</v>
      </c>
      <c r="F125" s="70">
        <f t="shared" si="45"/>
        <v>3.8335</v>
      </c>
      <c r="G125" s="70">
        <v>0.7</v>
      </c>
      <c r="H125" s="70"/>
      <c r="I125" s="70"/>
      <c r="J125" s="70">
        <f t="shared" si="41"/>
        <v>1.17</v>
      </c>
      <c r="K125" s="70"/>
      <c r="L125" s="70"/>
      <c r="M125" s="70"/>
      <c r="N125" s="70">
        <f t="shared" si="42"/>
        <v>0.585</v>
      </c>
      <c r="O125" s="70"/>
      <c r="P125" s="70"/>
      <c r="Q125" s="70"/>
      <c r="R125" s="70"/>
      <c r="S125" s="70">
        <f t="shared" si="44"/>
        <v>0.852</v>
      </c>
      <c r="T125" s="70"/>
      <c r="U125" s="70"/>
      <c r="V125" s="70">
        <f t="shared" si="43"/>
        <v>0.5265</v>
      </c>
      <c r="W125" s="100">
        <f t="shared" si="47"/>
        <v>110382180</v>
      </c>
      <c r="X125" s="502"/>
    </row>
    <row r="126" spans="1:24" s="75" customFormat="1" ht="15">
      <c r="A126" s="72">
        <v>25</v>
      </c>
      <c r="B126" s="499" t="s">
        <v>106</v>
      </c>
      <c r="C126" s="70"/>
      <c r="D126" s="70">
        <f t="shared" si="40"/>
        <v>6.92425</v>
      </c>
      <c r="E126" s="70">
        <v>2.67</v>
      </c>
      <c r="F126" s="70">
        <f t="shared" si="45"/>
        <v>4.25425</v>
      </c>
      <c r="G126" s="70">
        <v>0.7</v>
      </c>
      <c r="H126" s="70"/>
      <c r="I126" s="70"/>
      <c r="J126" s="70">
        <f t="shared" si="41"/>
        <v>1.335</v>
      </c>
      <c r="K126" s="70"/>
      <c r="L126" s="70"/>
      <c r="M126" s="70"/>
      <c r="N126" s="70">
        <f t="shared" si="42"/>
        <v>0.6675</v>
      </c>
      <c r="O126" s="70"/>
      <c r="P126" s="70"/>
      <c r="Q126" s="70"/>
      <c r="R126" s="70"/>
      <c r="S126" s="70">
        <f t="shared" si="44"/>
        <v>0.951</v>
      </c>
      <c r="T126" s="70"/>
      <c r="U126" s="70"/>
      <c r="V126" s="70">
        <f t="shared" si="43"/>
        <v>0.60075</v>
      </c>
      <c r="W126" s="100">
        <f t="shared" si="47"/>
        <v>123805590</v>
      </c>
      <c r="X126" s="502"/>
    </row>
    <row r="127" spans="1:24" s="75" customFormat="1" ht="15">
      <c r="A127" s="72">
        <v>26</v>
      </c>
      <c r="B127" s="499" t="s">
        <v>105</v>
      </c>
      <c r="C127" s="70"/>
      <c r="D127" s="70">
        <f t="shared" si="40"/>
        <v>6.041499999999999</v>
      </c>
      <c r="E127" s="70">
        <v>2.26</v>
      </c>
      <c r="F127" s="70">
        <f t="shared" si="45"/>
        <v>3.7814999999999994</v>
      </c>
      <c r="G127" s="70">
        <v>0.7</v>
      </c>
      <c r="H127" s="70"/>
      <c r="I127" s="70"/>
      <c r="J127" s="70">
        <f t="shared" si="41"/>
        <v>1.13</v>
      </c>
      <c r="K127" s="70"/>
      <c r="L127" s="70"/>
      <c r="M127" s="70"/>
      <c r="N127" s="70">
        <f t="shared" si="42"/>
        <v>0.565</v>
      </c>
      <c r="O127" s="70"/>
      <c r="P127" s="70"/>
      <c r="Q127" s="70"/>
      <c r="R127" s="70"/>
      <c r="S127" s="70">
        <f t="shared" si="44"/>
        <v>0.828</v>
      </c>
      <c r="T127" s="70"/>
      <c r="U127" s="70">
        <v>0.05</v>
      </c>
      <c r="V127" s="70">
        <f t="shared" si="43"/>
        <v>0.5085</v>
      </c>
      <c r="W127" s="100">
        <f t="shared" si="47"/>
        <v>108022019.99999997</v>
      </c>
      <c r="X127" s="502"/>
    </row>
    <row r="128" spans="1:24" s="75" customFormat="1" ht="15">
      <c r="A128" s="72">
        <v>27</v>
      </c>
      <c r="B128" s="499" t="s">
        <v>103</v>
      </c>
      <c r="C128" s="70"/>
      <c r="D128" s="70">
        <f t="shared" si="40"/>
        <v>6.1735</v>
      </c>
      <c r="E128" s="70">
        <v>2.34</v>
      </c>
      <c r="F128" s="70">
        <f t="shared" si="45"/>
        <v>3.8335</v>
      </c>
      <c r="G128" s="70">
        <v>0.7</v>
      </c>
      <c r="H128" s="70"/>
      <c r="I128" s="70"/>
      <c r="J128" s="70">
        <f t="shared" si="41"/>
        <v>1.17</v>
      </c>
      <c r="K128" s="70"/>
      <c r="L128" s="70"/>
      <c r="M128" s="70"/>
      <c r="N128" s="70">
        <f t="shared" si="42"/>
        <v>0.585</v>
      </c>
      <c r="O128" s="70"/>
      <c r="P128" s="70"/>
      <c r="Q128" s="70"/>
      <c r="R128" s="70"/>
      <c r="S128" s="70">
        <f t="shared" si="44"/>
        <v>0.852</v>
      </c>
      <c r="T128" s="70"/>
      <c r="U128" s="70"/>
      <c r="V128" s="70">
        <f t="shared" si="43"/>
        <v>0.5265</v>
      </c>
      <c r="W128" s="100">
        <f t="shared" si="47"/>
        <v>110382180</v>
      </c>
      <c r="X128" s="502"/>
    </row>
    <row r="129" spans="1:24" s="75" customFormat="1" ht="15">
      <c r="A129" s="72">
        <v>28</v>
      </c>
      <c r="B129" s="499" t="s">
        <v>102</v>
      </c>
      <c r="C129" s="70"/>
      <c r="D129" s="70">
        <f t="shared" si="40"/>
        <v>6.92425</v>
      </c>
      <c r="E129" s="70">
        <v>2.67</v>
      </c>
      <c r="F129" s="70">
        <f t="shared" si="45"/>
        <v>4.25425</v>
      </c>
      <c r="G129" s="70">
        <v>0.7</v>
      </c>
      <c r="H129" s="70"/>
      <c r="I129" s="70"/>
      <c r="J129" s="70">
        <f t="shared" si="41"/>
        <v>1.335</v>
      </c>
      <c r="K129" s="70"/>
      <c r="L129" s="70"/>
      <c r="M129" s="70"/>
      <c r="N129" s="70">
        <f t="shared" si="42"/>
        <v>0.6675</v>
      </c>
      <c r="O129" s="70"/>
      <c r="P129" s="70"/>
      <c r="Q129" s="70"/>
      <c r="R129" s="70"/>
      <c r="S129" s="70">
        <f t="shared" si="44"/>
        <v>0.951</v>
      </c>
      <c r="T129" s="70"/>
      <c r="U129" s="70"/>
      <c r="V129" s="70">
        <f t="shared" si="43"/>
        <v>0.60075</v>
      </c>
      <c r="W129" s="100">
        <f t="shared" si="47"/>
        <v>123805590</v>
      </c>
      <c r="X129" s="502"/>
    </row>
    <row r="130" spans="1:24" s="75" customFormat="1" ht="15" customHeight="1">
      <c r="A130" s="632">
        <v>29</v>
      </c>
      <c r="B130" s="634" t="s">
        <v>101</v>
      </c>
      <c r="C130" s="70"/>
      <c r="D130" s="70">
        <f t="shared" si="40"/>
        <v>6.9015</v>
      </c>
      <c r="E130" s="70">
        <v>2.66</v>
      </c>
      <c r="F130" s="70">
        <f t="shared" si="45"/>
        <v>4.2415</v>
      </c>
      <c r="G130" s="70">
        <v>0.7</v>
      </c>
      <c r="H130" s="70"/>
      <c r="I130" s="70"/>
      <c r="J130" s="70">
        <f t="shared" si="41"/>
        <v>1.33</v>
      </c>
      <c r="K130" s="70"/>
      <c r="L130" s="70"/>
      <c r="M130" s="70"/>
      <c r="N130" s="70">
        <f t="shared" si="42"/>
        <v>0.665</v>
      </c>
      <c r="O130" s="70"/>
      <c r="P130" s="70"/>
      <c r="Q130" s="70"/>
      <c r="R130" s="70"/>
      <c r="S130" s="70">
        <f t="shared" si="44"/>
        <v>0.9480000000000001</v>
      </c>
      <c r="T130" s="70"/>
      <c r="U130" s="70"/>
      <c r="V130" s="70">
        <f t="shared" si="43"/>
        <v>0.5985</v>
      </c>
      <c r="W130" s="100">
        <f>D130*1490000*3</f>
        <v>30849705</v>
      </c>
      <c r="X130" s="502" t="s">
        <v>314</v>
      </c>
    </row>
    <row r="131" spans="1:24" s="75" customFormat="1" ht="28.5" customHeight="1">
      <c r="A131" s="633"/>
      <c r="B131" s="635"/>
      <c r="C131" s="70"/>
      <c r="D131" s="70">
        <f t="shared" si="40"/>
        <v>7.356499999999999</v>
      </c>
      <c r="E131" s="70">
        <v>2.86</v>
      </c>
      <c r="F131" s="70">
        <f t="shared" si="45"/>
        <v>4.496499999999999</v>
      </c>
      <c r="G131" s="70">
        <v>0.7</v>
      </c>
      <c r="H131" s="70"/>
      <c r="I131" s="70"/>
      <c r="J131" s="70">
        <f t="shared" si="41"/>
        <v>1.43</v>
      </c>
      <c r="K131" s="70"/>
      <c r="L131" s="70"/>
      <c r="M131" s="70"/>
      <c r="N131" s="70">
        <f t="shared" si="42"/>
        <v>0.715</v>
      </c>
      <c r="O131" s="70"/>
      <c r="P131" s="70"/>
      <c r="Q131" s="70"/>
      <c r="R131" s="70"/>
      <c r="S131" s="70">
        <f t="shared" si="44"/>
        <v>1.008</v>
      </c>
      <c r="T131" s="70"/>
      <c r="U131" s="70"/>
      <c r="V131" s="70">
        <f t="shared" si="43"/>
        <v>0.6435</v>
      </c>
      <c r="W131" s="100">
        <f>D131*1490000*9</f>
        <v>98650664.99999999</v>
      </c>
      <c r="X131" s="502" t="s">
        <v>317</v>
      </c>
    </row>
    <row r="132" spans="1:24" s="75" customFormat="1" ht="12.75">
      <c r="A132" s="72">
        <v>30</v>
      </c>
      <c r="B132" s="503" t="s">
        <v>104</v>
      </c>
      <c r="C132" s="70"/>
      <c r="D132" s="70">
        <f t="shared" si="40"/>
        <v>6.1735</v>
      </c>
      <c r="E132" s="70">
        <v>2.34</v>
      </c>
      <c r="F132" s="70">
        <f t="shared" si="45"/>
        <v>3.8335</v>
      </c>
      <c r="G132" s="70">
        <v>0.7</v>
      </c>
      <c r="H132" s="70"/>
      <c r="I132" s="70"/>
      <c r="J132" s="70">
        <f t="shared" si="41"/>
        <v>1.17</v>
      </c>
      <c r="K132" s="70"/>
      <c r="L132" s="70"/>
      <c r="M132" s="70"/>
      <c r="N132" s="70">
        <f t="shared" si="42"/>
        <v>0.585</v>
      </c>
      <c r="O132" s="70"/>
      <c r="P132" s="70"/>
      <c r="Q132" s="70"/>
      <c r="R132" s="70"/>
      <c r="S132" s="70">
        <f t="shared" si="44"/>
        <v>0.852</v>
      </c>
      <c r="T132" s="70"/>
      <c r="U132" s="70"/>
      <c r="V132" s="70">
        <f t="shared" si="43"/>
        <v>0.5265</v>
      </c>
      <c r="W132" s="100">
        <f>D132*1490000*2</f>
        <v>18397030</v>
      </c>
      <c r="X132" s="502" t="s">
        <v>321</v>
      </c>
    </row>
    <row r="133" spans="1:24" s="75" customFormat="1" ht="13.5">
      <c r="A133" s="72"/>
      <c r="B133" s="506" t="s">
        <v>326</v>
      </c>
      <c r="C133" s="69">
        <f>SUM(C135:C137)</f>
        <v>0</v>
      </c>
      <c r="D133" s="69">
        <f aca="true" t="shared" si="48" ref="D133:X133">SUM(D135:D137)</f>
        <v>0</v>
      </c>
      <c r="E133" s="69">
        <f t="shared" si="48"/>
        <v>0</v>
      </c>
      <c r="F133" s="69">
        <f t="shared" si="48"/>
        <v>0</v>
      </c>
      <c r="G133" s="69">
        <f t="shared" si="48"/>
        <v>0</v>
      </c>
      <c r="H133" s="69">
        <f t="shared" si="48"/>
        <v>0</v>
      </c>
      <c r="I133" s="69">
        <f t="shared" si="48"/>
        <v>0</v>
      </c>
      <c r="J133" s="69">
        <f t="shared" si="48"/>
        <v>0</v>
      </c>
      <c r="K133" s="69">
        <f t="shared" si="48"/>
        <v>0</v>
      </c>
      <c r="L133" s="69">
        <f t="shared" si="48"/>
        <v>0</v>
      </c>
      <c r="M133" s="69">
        <f t="shared" si="48"/>
        <v>0</v>
      </c>
      <c r="N133" s="69">
        <f t="shared" si="48"/>
        <v>0</v>
      </c>
      <c r="O133" s="69">
        <f t="shared" si="48"/>
        <v>0</v>
      </c>
      <c r="P133" s="69">
        <f t="shared" si="48"/>
        <v>0</v>
      </c>
      <c r="Q133" s="69">
        <f t="shared" si="48"/>
        <v>0</v>
      </c>
      <c r="R133" s="69">
        <f t="shared" si="48"/>
        <v>0</v>
      </c>
      <c r="S133" s="69">
        <f t="shared" si="48"/>
        <v>0</v>
      </c>
      <c r="T133" s="69">
        <f t="shared" si="48"/>
        <v>0</v>
      </c>
      <c r="U133" s="69">
        <f t="shared" si="48"/>
        <v>0</v>
      </c>
      <c r="V133" s="69">
        <f t="shared" si="48"/>
        <v>0</v>
      </c>
      <c r="W133" s="69">
        <f>SUM(W134:W137)</f>
        <v>416442000</v>
      </c>
      <c r="X133" s="69">
        <f t="shared" si="48"/>
        <v>0</v>
      </c>
    </row>
    <row r="134" spans="1:24" s="75" customFormat="1" ht="12.75">
      <c r="A134" s="72">
        <v>31</v>
      </c>
      <c r="B134" s="503" t="s">
        <v>322</v>
      </c>
      <c r="C134" s="70"/>
      <c r="D134" s="70"/>
      <c r="E134" s="70"/>
      <c r="F134" s="70"/>
      <c r="G134" s="70"/>
      <c r="H134" s="70"/>
      <c r="I134" s="70"/>
      <c r="J134" s="70">
        <f>(E134+H134)*50%</f>
        <v>0</v>
      </c>
      <c r="K134" s="70"/>
      <c r="L134" s="70"/>
      <c r="M134" s="70"/>
      <c r="N134" s="70">
        <f>(E134+H134)*0.25</f>
        <v>0</v>
      </c>
      <c r="O134" s="70"/>
      <c r="P134" s="70"/>
      <c r="Q134" s="70"/>
      <c r="R134" s="70"/>
      <c r="S134" s="70"/>
      <c r="T134" s="70"/>
      <c r="U134" s="70"/>
      <c r="V134" s="70">
        <f>(E134+H134)*22.5%</f>
        <v>0</v>
      </c>
      <c r="W134" s="100">
        <f>(9300000+9300000*23.5%)*12</f>
        <v>137826000</v>
      </c>
      <c r="X134" s="502"/>
    </row>
    <row r="135" spans="1:24" s="75" customFormat="1" ht="12.75">
      <c r="A135" s="72">
        <v>32</v>
      </c>
      <c r="B135" s="503" t="s">
        <v>323</v>
      </c>
      <c r="C135" s="70"/>
      <c r="D135" s="70"/>
      <c r="E135" s="70"/>
      <c r="F135" s="70"/>
      <c r="G135" s="70"/>
      <c r="H135" s="70"/>
      <c r="I135" s="70"/>
      <c r="J135" s="70">
        <f t="shared" si="41"/>
        <v>0</v>
      </c>
      <c r="K135" s="70"/>
      <c r="L135" s="70"/>
      <c r="M135" s="70"/>
      <c r="N135" s="70">
        <f t="shared" si="42"/>
        <v>0</v>
      </c>
      <c r="O135" s="70"/>
      <c r="P135" s="70"/>
      <c r="Q135" s="70"/>
      <c r="R135" s="70"/>
      <c r="S135" s="70"/>
      <c r="T135" s="70"/>
      <c r="U135" s="70"/>
      <c r="V135" s="70">
        <f t="shared" si="43"/>
        <v>0</v>
      </c>
      <c r="W135" s="100">
        <f>(7700000+7700000*23.5%)*12</f>
        <v>114114000</v>
      </c>
      <c r="X135" s="502"/>
    </row>
    <row r="136" spans="1:24" s="75" customFormat="1" ht="12.75">
      <c r="A136" s="72">
        <v>33</v>
      </c>
      <c r="B136" s="503" t="s">
        <v>324</v>
      </c>
      <c r="C136" s="70"/>
      <c r="D136" s="70"/>
      <c r="E136" s="70"/>
      <c r="F136" s="70"/>
      <c r="G136" s="70"/>
      <c r="H136" s="70"/>
      <c r="I136" s="70"/>
      <c r="J136" s="70">
        <f t="shared" si="41"/>
        <v>0</v>
      </c>
      <c r="K136" s="70"/>
      <c r="L136" s="70"/>
      <c r="M136" s="70"/>
      <c r="N136" s="70">
        <f t="shared" si="42"/>
        <v>0</v>
      </c>
      <c r="O136" s="70"/>
      <c r="P136" s="70"/>
      <c r="Q136" s="70"/>
      <c r="R136" s="70"/>
      <c r="S136" s="70"/>
      <c r="T136" s="70"/>
      <c r="U136" s="70"/>
      <c r="V136" s="70">
        <f t="shared" si="43"/>
        <v>0</v>
      </c>
      <c r="W136" s="100">
        <f>(6100000+6100000*23.5%)*12</f>
        <v>90402000</v>
      </c>
      <c r="X136" s="502"/>
    </row>
    <row r="137" spans="1:24" s="75" customFormat="1" ht="12.75">
      <c r="A137" s="72">
        <v>34</v>
      </c>
      <c r="B137" s="503" t="s">
        <v>325</v>
      </c>
      <c r="C137" s="70"/>
      <c r="D137" s="70"/>
      <c r="E137" s="70"/>
      <c r="F137" s="70"/>
      <c r="G137" s="70"/>
      <c r="H137" s="70"/>
      <c r="I137" s="70"/>
      <c r="J137" s="70">
        <f t="shared" si="41"/>
        <v>0</v>
      </c>
      <c r="K137" s="70"/>
      <c r="L137" s="70"/>
      <c r="M137" s="70"/>
      <c r="N137" s="70">
        <f t="shared" si="42"/>
        <v>0</v>
      </c>
      <c r="O137" s="70"/>
      <c r="P137" s="70"/>
      <c r="Q137" s="70"/>
      <c r="R137" s="70"/>
      <c r="S137" s="70"/>
      <c r="T137" s="70"/>
      <c r="U137" s="70"/>
      <c r="V137" s="70">
        <f t="shared" si="43"/>
        <v>0</v>
      </c>
      <c r="W137" s="100">
        <f>(5000000+5000000*23.5%)*12</f>
        <v>74100000</v>
      </c>
      <c r="X137" s="502"/>
    </row>
    <row r="138" spans="1:24" s="63" customFormat="1" ht="25.5" customHeight="1">
      <c r="A138" s="246" t="s">
        <v>297</v>
      </c>
      <c r="B138" s="19" t="s">
        <v>292</v>
      </c>
      <c r="C138" s="213">
        <v>4</v>
      </c>
      <c r="D138" s="213">
        <f>SUM(D139:D142)</f>
        <v>38.747749999999996</v>
      </c>
      <c r="E138" s="213">
        <f aca="true" t="shared" si="49" ref="E138:V138">SUM(E139:E142)</f>
        <v>15.42</v>
      </c>
      <c r="F138" s="213">
        <f t="shared" si="49"/>
        <v>19.6445</v>
      </c>
      <c r="G138" s="213">
        <f t="shared" si="49"/>
        <v>2.0999999999999996</v>
      </c>
      <c r="H138" s="213">
        <f t="shared" si="49"/>
        <v>0.9500000000000001</v>
      </c>
      <c r="I138" s="213">
        <f t="shared" si="49"/>
        <v>0</v>
      </c>
      <c r="J138" s="213">
        <f t="shared" si="49"/>
        <v>7.015000000000001</v>
      </c>
      <c r="K138" s="213">
        <f t="shared" si="49"/>
        <v>0</v>
      </c>
      <c r="L138" s="213">
        <f t="shared" si="49"/>
        <v>0</v>
      </c>
      <c r="M138" s="213">
        <f t="shared" si="49"/>
        <v>0</v>
      </c>
      <c r="N138" s="213">
        <f t="shared" si="49"/>
        <v>3.5075000000000003</v>
      </c>
      <c r="O138" s="213">
        <f t="shared" si="49"/>
        <v>0</v>
      </c>
      <c r="P138" s="213">
        <f t="shared" si="49"/>
        <v>0</v>
      </c>
      <c r="Q138" s="213">
        <f t="shared" si="49"/>
        <v>0</v>
      </c>
      <c r="R138" s="213">
        <f t="shared" si="49"/>
        <v>0</v>
      </c>
      <c r="S138" s="213">
        <f t="shared" si="49"/>
        <v>4.209</v>
      </c>
      <c r="T138" s="213">
        <f t="shared" si="49"/>
        <v>1.4030000000000002</v>
      </c>
      <c r="U138" s="213">
        <f t="shared" si="49"/>
        <v>0.45999999999999996</v>
      </c>
      <c r="V138" s="213">
        <f t="shared" si="49"/>
        <v>3.68325</v>
      </c>
      <c r="W138" s="214">
        <f>SUM(W139:W143)</f>
        <v>696700160</v>
      </c>
      <c r="X138" s="213"/>
    </row>
    <row r="139" spans="1:29" s="153" customFormat="1" ht="29.25" customHeight="1">
      <c r="A139" s="112" t="s">
        <v>289</v>
      </c>
      <c r="B139" s="215" t="s">
        <v>290</v>
      </c>
      <c r="C139" s="87"/>
      <c r="D139" s="114">
        <f>E139+F139+V139</f>
        <v>16.044999999999998</v>
      </c>
      <c r="E139" s="216">
        <v>5.76</v>
      </c>
      <c r="F139" s="114">
        <f>SUM(G139:U139)</f>
        <v>8.854</v>
      </c>
      <c r="G139" s="114">
        <v>0.7</v>
      </c>
      <c r="H139" s="217">
        <v>0.6</v>
      </c>
      <c r="I139" s="114"/>
      <c r="J139" s="114">
        <f>(E139+H139)*50%</f>
        <v>3.1799999999999997</v>
      </c>
      <c r="K139" s="114"/>
      <c r="L139" s="114"/>
      <c r="M139" s="114"/>
      <c r="N139" s="114">
        <f>(E139+H139)*25%</f>
        <v>1.5899999999999999</v>
      </c>
      <c r="O139" s="114"/>
      <c r="P139" s="114"/>
      <c r="Q139" s="114"/>
      <c r="R139" s="114"/>
      <c r="S139" s="114">
        <f>(E139+H139)*30%</f>
        <v>1.9079999999999997</v>
      </c>
      <c r="T139" s="114">
        <f>(E139+H139)*10%</f>
        <v>0.636</v>
      </c>
      <c r="U139" s="114">
        <v>0.24</v>
      </c>
      <c r="V139" s="114">
        <f>(E139+H139)*22.5%</f>
        <v>1.4309999999999998</v>
      </c>
      <c r="W139" s="115">
        <f>D139*12*1490000</f>
        <v>286884599.99999994</v>
      </c>
      <c r="X139" s="114"/>
      <c r="Y139" s="620"/>
      <c r="Z139" s="621"/>
      <c r="AA139" s="621"/>
      <c r="AB139" s="621"/>
      <c r="AC139" s="621"/>
    </row>
    <row r="140" spans="1:24" s="153" customFormat="1" ht="29.25" customHeight="1">
      <c r="A140" s="112" t="s">
        <v>206</v>
      </c>
      <c r="B140" s="215" t="s">
        <v>91</v>
      </c>
      <c r="C140" s="116"/>
      <c r="D140" s="114">
        <f>E140+F140+V140</f>
        <v>9.08375</v>
      </c>
      <c r="E140" s="216">
        <v>3.33</v>
      </c>
      <c r="F140" s="114">
        <f>SUM(G140:U140)</f>
        <v>4.9595</v>
      </c>
      <c r="G140" s="114">
        <v>0.7</v>
      </c>
      <c r="H140" s="217">
        <v>0.2</v>
      </c>
      <c r="I140" s="117"/>
      <c r="J140" s="114">
        <f>(E140+H140)*50%</f>
        <v>1.7650000000000001</v>
      </c>
      <c r="K140" s="117"/>
      <c r="L140" s="117"/>
      <c r="M140" s="117"/>
      <c r="N140" s="114">
        <f>(E140+H140)*25%</f>
        <v>0.8825000000000001</v>
      </c>
      <c r="O140" s="117"/>
      <c r="P140" s="117"/>
      <c r="Q140" s="117"/>
      <c r="R140" s="117"/>
      <c r="S140" s="114">
        <f>(E140+H140)*30%</f>
        <v>1.059</v>
      </c>
      <c r="T140" s="114">
        <f>(E140+H140)*10%</f>
        <v>0.35300000000000004</v>
      </c>
      <c r="U140" s="117"/>
      <c r="V140" s="114">
        <f>(E140+H140)*22.5%</f>
        <v>0.7942500000000001</v>
      </c>
      <c r="W140" s="115">
        <f>D140*12*1490000</f>
        <v>162417450</v>
      </c>
      <c r="X140" s="118"/>
    </row>
    <row r="141" spans="1:24" s="153" customFormat="1" ht="29.25" customHeight="1">
      <c r="A141" s="112" t="s">
        <v>205</v>
      </c>
      <c r="B141" s="218" t="s">
        <v>89</v>
      </c>
      <c r="C141" s="87"/>
      <c r="D141" s="114">
        <f>E141+F141+V141</f>
        <v>10.752500000000001</v>
      </c>
      <c r="E141" s="219">
        <v>3.99</v>
      </c>
      <c r="F141" s="114">
        <f>SUM(G141:U141)</f>
        <v>5.831</v>
      </c>
      <c r="G141" s="114">
        <v>0.7</v>
      </c>
      <c r="H141" s="220">
        <v>0.15</v>
      </c>
      <c r="I141" s="87"/>
      <c r="J141" s="114">
        <f>(E141+H141)*50%</f>
        <v>2.0700000000000003</v>
      </c>
      <c r="K141" s="87"/>
      <c r="L141" s="87"/>
      <c r="M141" s="87"/>
      <c r="N141" s="114">
        <f>(E141+H141)*25%</f>
        <v>1.0350000000000001</v>
      </c>
      <c r="O141" s="87"/>
      <c r="P141" s="87"/>
      <c r="Q141" s="87"/>
      <c r="R141" s="87"/>
      <c r="S141" s="114">
        <f>(E141+H141)*30%</f>
        <v>1.2420000000000002</v>
      </c>
      <c r="T141" s="114">
        <f>(E141+H141)*10%</f>
        <v>0.4140000000000001</v>
      </c>
      <c r="U141" s="87">
        <v>0.22</v>
      </c>
      <c r="V141" s="114">
        <f>(E141+H141)*22.5%</f>
        <v>0.9315000000000001</v>
      </c>
      <c r="W141" s="115">
        <f>D141*12*1490000</f>
        <v>192254700.00000003</v>
      </c>
      <c r="X141" s="118"/>
    </row>
    <row r="142" spans="1:24" s="153" customFormat="1" ht="29.25" customHeight="1">
      <c r="A142" s="112" t="s">
        <v>204</v>
      </c>
      <c r="B142" s="113" t="s">
        <v>291</v>
      </c>
      <c r="C142" s="87"/>
      <c r="D142" s="114">
        <f>E142+F142+V142</f>
        <v>2.8665</v>
      </c>
      <c r="E142" s="114">
        <v>2.34</v>
      </c>
      <c r="F142" s="114">
        <f>SUM(G142:U142)</f>
        <v>0</v>
      </c>
      <c r="G142" s="114">
        <v>0</v>
      </c>
      <c r="H142" s="87">
        <v>0</v>
      </c>
      <c r="I142" s="87"/>
      <c r="J142" s="114"/>
      <c r="K142" s="87"/>
      <c r="L142" s="87"/>
      <c r="M142" s="87"/>
      <c r="N142" s="114"/>
      <c r="O142" s="87"/>
      <c r="P142" s="87"/>
      <c r="Q142" s="87"/>
      <c r="R142" s="87"/>
      <c r="S142" s="114"/>
      <c r="T142" s="87"/>
      <c r="U142" s="87"/>
      <c r="V142" s="114">
        <f>(E142+H142)*22.5%</f>
        <v>0.5265</v>
      </c>
      <c r="W142" s="115">
        <f>D142*11*1490000</f>
        <v>46981935</v>
      </c>
      <c r="X142" s="118"/>
    </row>
    <row r="143" spans="1:24" s="154" customFormat="1" ht="29.25" customHeight="1">
      <c r="A143" s="112">
        <v>5</v>
      </c>
      <c r="B143" s="113" t="s">
        <v>90</v>
      </c>
      <c r="C143" s="87"/>
      <c r="D143" s="114">
        <f>E143+F143+V143</f>
        <v>5.4775</v>
      </c>
      <c r="E143" s="114">
        <v>2.1</v>
      </c>
      <c r="F143" s="114">
        <f>SUM(G143:U143)</f>
        <v>2.905</v>
      </c>
      <c r="G143" s="114">
        <v>0.7</v>
      </c>
      <c r="H143" s="87"/>
      <c r="I143" s="87"/>
      <c r="J143" s="114">
        <f>(E143+H143)*50%</f>
        <v>1.05</v>
      </c>
      <c r="K143" s="87"/>
      <c r="L143" s="87"/>
      <c r="M143" s="87"/>
      <c r="N143" s="114">
        <f>(E143+H143)*25%</f>
        <v>0.525</v>
      </c>
      <c r="O143" s="87"/>
      <c r="P143" s="87"/>
      <c r="Q143" s="87"/>
      <c r="R143" s="87"/>
      <c r="S143" s="114">
        <f>(E143+H143)*30%</f>
        <v>0.63</v>
      </c>
      <c r="T143" s="87"/>
      <c r="U143" s="87"/>
      <c r="V143" s="114">
        <f>(E143+H143)*22.5%</f>
        <v>0.47250000000000003</v>
      </c>
      <c r="W143" s="115">
        <f>D143*1*1490000</f>
        <v>8161475</v>
      </c>
      <c r="X143" s="118"/>
    </row>
    <row r="144" spans="1:24" s="63" customFormat="1" ht="29.25" customHeight="1">
      <c r="A144" s="256" t="s">
        <v>298</v>
      </c>
      <c r="B144" s="223" t="s">
        <v>9</v>
      </c>
      <c r="C144" s="107">
        <v>2</v>
      </c>
      <c r="D144" s="224">
        <f>SUM(D145:D146)</f>
        <v>14.077</v>
      </c>
      <c r="E144" s="224">
        <f>SUM(E145:E146)</f>
        <v>6.66</v>
      </c>
      <c r="F144" s="224">
        <f aca="true" t="shared" si="50" ref="F144:V144">SUM(F145:F146)</f>
        <v>5.851</v>
      </c>
      <c r="G144" s="224">
        <f t="shared" si="50"/>
        <v>0.7</v>
      </c>
      <c r="H144" s="224">
        <f t="shared" si="50"/>
        <v>0.3</v>
      </c>
      <c r="I144" s="224">
        <f t="shared" si="50"/>
        <v>0</v>
      </c>
      <c r="J144" s="224">
        <f t="shared" si="50"/>
        <v>2.31</v>
      </c>
      <c r="K144" s="224">
        <f t="shared" si="50"/>
        <v>0</v>
      </c>
      <c r="L144" s="224">
        <f t="shared" si="50"/>
        <v>0</v>
      </c>
      <c r="M144" s="224">
        <f t="shared" si="50"/>
        <v>0</v>
      </c>
      <c r="N144" s="224">
        <f aca="true" t="shared" si="51" ref="N144:S144">SUM(N145:N146)</f>
        <v>1.155</v>
      </c>
      <c r="O144" s="224">
        <f t="shared" si="51"/>
        <v>0</v>
      </c>
      <c r="P144" s="224">
        <f t="shared" si="51"/>
        <v>0</v>
      </c>
      <c r="Q144" s="224">
        <f t="shared" si="51"/>
        <v>0</v>
      </c>
      <c r="R144" s="224">
        <f t="shared" si="51"/>
        <v>0</v>
      </c>
      <c r="S144" s="224">
        <f t="shared" si="51"/>
        <v>1.386</v>
      </c>
      <c r="T144" s="224">
        <f t="shared" si="50"/>
        <v>0</v>
      </c>
      <c r="U144" s="224">
        <f t="shared" si="50"/>
        <v>0</v>
      </c>
      <c r="V144" s="224">
        <f t="shared" si="50"/>
        <v>1.566</v>
      </c>
      <c r="W144" s="224">
        <f>SUM(W145:W146)</f>
        <v>251696760.00000003</v>
      </c>
      <c r="X144" s="225"/>
    </row>
    <row r="145" spans="1:29" s="154" customFormat="1" ht="29.25" customHeight="1">
      <c r="A145" s="112" t="s">
        <v>289</v>
      </c>
      <c r="B145" s="221" t="s">
        <v>43</v>
      </c>
      <c r="C145" s="87"/>
      <c r="D145" s="114">
        <f>E145+F145+V145</f>
        <v>11.2105</v>
      </c>
      <c r="E145" s="222">
        <v>4.32</v>
      </c>
      <c r="F145" s="114">
        <f>SUM(G145:U145)</f>
        <v>5.851</v>
      </c>
      <c r="G145" s="114">
        <v>0.7</v>
      </c>
      <c r="H145" s="217">
        <v>0.3</v>
      </c>
      <c r="I145" s="114"/>
      <c r="J145" s="114">
        <f>(E145+H145)*50%</f>
        <v>2.31</v>
      </c>
      <c r="K145" s="114"/>
      <c r="L145" s="114"/>
      <c r="M145" s="114"/>
      <c r="N145" s="114">
        <f>(E145+H145)*25%</f>
        <v>1.155</v>
      </c>
      <c r="O145" s="114"/>
      <c r="P145" s="114"/>
      <c r="Q145" s="114"/>
      <c r="R145" s="114"/>
      <c r="S145" s="114">
        <f>(E145+H145)*30%</f>
        <v>1.386</v>
      </c>
      <c r="T145" s="114"/>
      <c r="U145" s="114"/>
      <c r="V145" s="114">
        <f>(E145+H145)*22.5%</f>
        <v>1.0395</v>
      </c>
      <c r="W145" s="115">
        <f>D145*12*1490000</f>
        <v>200443740.00000003</v>
      </c>
      <c r="X145" s="114"/>
      <c r="Y145" s="620"/>
      <c r="Z145" s="621"/>
      <c r="AA145" s="621"/>
      <c r="AB145" s="621"/>
      <c r="AC145" s="621"/>
    </row>
    <row r="146" spans="1:24" s="154" customFormat="1" ht="29.25" customHeight="1">
      <c r="A146" s="112">
        <v>2</v>
      </c>
      <c r="B146" s="113" t="s">
        <v>291</v>
      </c>
      <c r="C146" s="87"/>
      <c r="D146" s="114">
        <f>E146+F146+V146</f>
        <v>2.8665</v>
      </c>
      <c r="E146" s="114">
        <v>2.34</v>
      </c>
      <c r="F146" s="114">
        <f>SUM(G146:U146)</f>
        <v>0</v>
      </c>
      <c r="G146" s="114">
        <v>0</v>
      </c>
      <c r="H146" s="87">
        <v>0</v>
      </c>
      <c r="I146" s="87"/>
      <c r="J146" s="114">
        <v>0</v>
      </c>
      <c r="K146" s="87"/>
      <c r="L146" s="87"/>
      <c r="M146" s="87"/>
      <c r="N146" s="87"/>
      <c r="O146" s="87"/>
      <c r="P146" s="87"/>
      <c r="Q146" s="87"/>
      <c r="R146" s="87"/>
      <c r="S146" s="87"/>
      <c r="T146" s="87"/>
      <c r="U146" s="87"/>
      <c r="V146" s="114">
        <f>(E146+H146)*22.5%</f>
        <v>0.5265</v>
      </c>
      <c r="W146" s="115">
        <f>D146*12*1490000</f>
        <v>51253019.99999999</v>
      </c>
      <c r="X146" s="118"/>
    </row>
    <row r="147" spans="1:24" s="42" customFormat="1" ht="29.25" customHeight="1">
      <c r="A147" s="204" t="s">
        <v>299</v>
      </c>
      <c r="B147" s="205" t="s">
        <v>294</v>
      </c>
      <c r="C147" s="206">
        <v>2</v>
      </c>
      <c r="D147" s="206">
        <f aca="true" t="shared" si="52" ref="D147:U147">SUM(D148:D150)</f>
        <v>25.82825</v>
      </c>
      <c r="E147" s="206">
        <f t="shared" si="52"/>
        <v>9.629999999999999</v>
      </c>
      <c r="F147" s="206">
        <f t="shared" si="52"/>
        <v>13.8515</v>
      </c>
      <c r="G147" s="206">
        <f t="shared" si="52"/>
        <v>2.0999999999999996</v>
      </c>
      <c r="H147" s="206">
        <f t="shared" si="52"/>
        <v>0.8</v>
      </c>
      <c r="I147" s="206">
        <f t="shared" si="52"/>
        <v>0</v>
      </c>
      <c r="J147" s="206">
        <f t="shared" si="52"/>
        <v>5.215</v>
      </c>
      <c r="K147" s="206">
        <f t="shared" si="52"/>
        <v>0</v>
      </c>
      <c r="L147" s="206">
        <f t="shared" si="52"/>
        <v>0</v>
      </c>
      <c r="M147" s="206">
        <f t="shared" si="52"/>
        <v>0</v>
      </c>
      <c r="N147" s="206">
        <f t="shared" si="52"/>
        <v>2.6075</v>
      </c>
      <c r="O147" s="206">
        <f t="shared" si="52"/>
        <v>0</v>
      </c>
      <c r="P147" s="206">
        <f t="shared" si="52"/>
        <v>0</v>
      </c>
      <c r="Q147" s="206">
        <f t="shared" si="52"/>
        <v>0</v>
      </c>
      <c r="R147" s="206">
        <f t="shared" si="52"/>
        <v>0</v>
      </c>
      <c r="S147" s="206">
        <f t="shared" si="52"/>
        <v>3.1289999999999996</v>
      </c>
      <c r="T147" s="206">
        <f t="shared" si="52"/>
        <v>0</v>
      </c>
      <c r="U147" s="206">
        <f t="shared" si="52"/>
        <v>0</v>
      </c>
      <c r="V147" s="247">
        <f>SUM(V148:V150)</f>
        <v>2.34675</v>
      </c>
      <c r="W147" s="247">
        <f>SUM(W148:W150)</f>
        <v>289127422.5</v>
      </c>
      <c r="X147" s="238"/>
    </row>
    <row r="148" spans="1:29" s="233" customFormat="1" ht="15.75">
      <c r="A148" s="226" t="s">
        <v>289</v>
      </c>
      <c r="B148" s="227" t="s">
        <v>44</v>
      </c>
      <c r="C148" s="228"/>
      <c r="D148" s="229">
        <f>E148+F148+V148</f>
        <v>7.4567499999999995</v>
      </c>
      <c r="E148" s="230">
        <v>2.67</v>
      </c>
      <c r="F148" s="229">
        <f>SUM(G148:U148)</f>
        <v>4.1185</v>
      </c>
      <c r="G148" s="229">
        <v>0.7</v>
      </c>
      <c r="H148" s="231">
        <v>0.3</v>
      </c>
      <c r="I148" s="229"/>
      <c r="J148" s="229">
        <f>(E148+H148)*50%</f>
        <v>1.4849999999999999</v>
      </c>
      <c r="K148" s="229"/>
      <c r="L148" s="229"/>
      <c r="M148" s="229"/>
      <c r="N148" s="229">
        <f>(E148+H148)*25%</f>
        <v>0.7424999999999999</v>
      </c>
      <c r="O148" s="229"/>
      <c r="P148" s="229"/>
      <c r="Q148" s="229"/>
      <c r="R148" s="229"/>
      <c r="S148" s="229">
        <f>(E148+H148)*30%</f>
        <v>0.8909999999999999</v>
      </c>
      <c r="T148" s="229"/>
      <c r="U148" s="229"/>
      <c r="V148" s="229">
        <f>(E148+H148)*22.5%</f>
        <v>0.66825</v>
      </c>
      <c r="W148" s="232">
        <f>D148*9*1490000</f>
        <v>99995017.5</v>
      </c>
      <c r="X148" s="229"/>
      <c r="Y148" s="625"/>
      <c r="Z148" s="626"/>
      <c r="AA148" s="626"/>
      <c r="AB148" s="626"/>
      <c r="AC148" s="626"/>
    </row>
    <row r="149" spans="1:25" s="233" customFormat="1" ht="15.75">
      <c r="A149" s="226"/>
      <c r="B149" s="227" t="s">
        <v>38</v>
      </c>
      <c r="C149" s="228"/>
      <c r="D149" s="229">
        <f>E149+F149+V149</f>
        <v>10.3915</v>
      </c>
      <c r="E149" s="230">
        <v>3.96</v>
      </c>
      <c r="F149" s="229">
        <f>SUM(G149:U149)</f>
        <v>5.473</v>
      </c>
      <c r="G149" s="229">
        <v>0.7</v>
      </c>
      <c r="H149" s="231">
        <v>0.3</v>
      </c>
      <c r="I149" s="229"/>
      <c r="J149" s="229">
        <f>(E149+H149)*50%</f>
        <v>2.13</v>
      </c>
      <c r="K149" s="229"/>
      <c r="L149" s="229"/>
      <c r="M149" s="229"/>
      <c r="N149" s="229">
        <f>(E149+H149)*25%</f>
        <v>1.065</v>
      </c>
      <c r="O149" s="229"/>
      <c r="P149" s="229"/>
      <c r="Q149" s="229"/>
      <c r="R149" s="229"/>
      <c r="S149" s="229">
        <f>(E149+H149)*30%</f>
        <v>1.2779999999999998</v>
      </c>
      <c r="T149" s="229"/>
      <c r="U149" s="229"/>
      <c r="V149" s="229">
        <f>(E149+H149)*22.5%</f>
        <v>0.9585</v>
      </c>
      <c r="W149" s="232">
        <f>D149*1490000*3</f>
        <v>46450005</v>
      </c>
      <c r="X149" s="229"/>
      <c r="Y149" s="245"/>
    </row>
    <row r="150" spans="1:24" s="233" customFormat="1" ht="15.75">
      <c r="A150" s="226" t="s">
        <v>206</v>
      </c>
      <c r="B150" s="227" t="s">
        <v>293</v>
      </c>
      <c r="C150" s="234"/>
      <c r="D150" s="229">
        <f>E150+F150+V150</f>
        <v>7.9799999999999995</v>
      </c>
      <c r="E150" s="230">
        <v>3</v>
      </c>
      <c r="F150" s="229">
        <f>SUM(G150:U150)</f>
        <v>4.26</v>
      </c>
      <c r="G150" s="229">
        <v>0.7</v>
      </c>
      <c r="H150" s="231">
        <v>0.2</v>
      </c>
      <c r="I150" s="235"/>
      <c r="J150" s="229">
        <f>(E150+H150)*50%</f>
        <v>1.6</v>
      </c>
      <c r="K150" s="235"/>
      <c r="L150" s="235"/>
      <c r="M150" s="235"/>
      <c r="N150" s="229">
        <f>(E150+H150)*25%</f>
        <v>0.8</v>
      </c>
      <c r="O150" s="235"/>
      <c r="P150" s="235"/>
      <c r="Q150" s="235"/>
      <c r="R150" s="235"/>
      <c r="S150" s="229">
        <f>(E150+H150)*30%</f>
        <v>0.96</v>
      </c>
      <c r="T150" s="229"/>
      <c r="U150" s="235"/>
      <c r="V150" s="229">
        <f>(E150+H150)*22.5%</f>
        <v>0.7200000000000001</v>
      </c>
      <c r="W150" s="232">
        <f>D150*12*1490000</f>
        <v>142682400</v>
      </c>
      <c r="X150" s="236"/>
    </row>
    <row r="151" spans="1:24" s="42" customFormat="1" ht="29.25" customHeight="1">
      <c r="A151" s="204" t="s">
        <v>300</v>
      </c>
      <c r="B151" s="205" t="s">
        <v>78</v>
      </c>
      <c r="C151" s="237">
        <v>1</v>
      </c>
      <c r="D151" s="206">
        <f>D152</f>
        <v>8.958250000000001</v>
      </c>
      <c r="E151" s="206">
        <f aca="true" t="shared" si="53" ref="E151:V151">E152</f>
        <v>3.33</v>
      </c>
      <c r="F151" s="206">
        <f t="shared" si="53"/>
        <v>4.8115000000000006</v>
      </c>
      <c r="G151" s="206">
        <f t="shared" si="53"/>
        <v>0.7</v>
      </c>
      <c r="H151" s="206">
        <f t="shared" si="53"/>
        <v>0.3</v>
      </c>
      <c r="I151" s="206">
        <f t="shared" si="53"/>
        <v>0</v>
      </c>
      <c r="J151" s="206">
        <f t="shared" si="53"/>
        <v>1.815</v>
      </c>
      <c r="K151" s="206">
        <f t="shared" si="53"/>
        <v>0</v>
      </c>
      <c r="L151" s="206">
        <f t="shared" si="53"/>
        <v>0</v>
      </c>
      <c r="M151" s="206">
        <f t="shared" si="53"/>
        <v>0</v>
      </c>
      <c r="N151" s="206">
        <f t="shared" si="53"/>
        <v>0.9075</v>
      </c>
      <c r="O151" s="206">
        <f t="shared" si="53"/>
        <v>0</v>
      </c>
      <c r="P151" s="206">
        <f t="shared" si="53"/>
        <v>0</v>
      </c>
      <c r="Q151" s="206">
        <f t="shared" si="53"/>
        <v>0</v>
      </c>
      <c r="R151" s="206">
        <f t="shared" si="53"/>
        <v>0</v>
      </c>
      <c r="S151" s="206">
        <f t="shared" si="53"/>
        <v>1.089</v>
      </c>
      <c r="T151" s="206">
        <f t="shared" si="53"/>
        <v>0</v>
      </c>
      <c r="U151" s="206">
        <f t="shared" si="53"/>
        <v>0</v>
      </c>
      <c r="V151" s="206">
        <f t="shared" si="53"/>
        <v>0.81675</v>
      </c>
      <c r="W151" s="206">
        <f>W152</f>
        <v>160173510.00000003</v>
      </c>
      <c r="X151" s="238"/>
    </row>
    <row r="152" spans="1:29" s="154" customFormat="1" ht="12.75">
      <c r="A152" s="112" t="s">
        <v>289</v>
      </c>
      <c r="B152" s="218" t="s">
        <v>77</v>
      </c>
      <c r="C152" s="87"/>
      <c r="D152" s="114">
        <f>E152+F152+V152</f>
        <v>8.958250000000001</v>
      </c>
      <c r="E152" s="216">
        <v>3.33</v>
      </c>
      <c r="F152" s="114">
        <f>SUM(G152:U152)</f>
        <v>4.8115000000000006</v>
      </c>
      <c r="G152" s="114">
        <v>0.7</v>
      </c>
      <c r="H152" s="217">
        <v>0.3</v>
      </c>
      <c r="I152" s="114"/>
      <c r="J152" s="114">
        <f>(E152+H152)*50%</f>
        <v>1.815</v>
      </c>
      <c r="K152" s="114"/>
      <c r="L152" s="114"/>
      <c r="M152" s="114"/>
      <c r="N152" s="114">
        <f>(E152+H152)*25%</f>
        <v>0.9075</v>
      </c>
      <c r="O152" s="114"/>
      <c r="P152" s="114"/>
      <c r="Q152" s="114"/>
      <c r="R152" s="114"/>
      <c r="S152" s="114">
        <f>(E152+H152)*30%</f>
        <v>1.089</v>
      </c>
      <c r="T152" s="114"/>
      <c r="U152" s="114"/>
      <c r="V152" s="114">
        <f>(E152+H152)*22.5%</f>
        <v>0.81675</v>
      </c>
      <c r="W152" s="115">
        <f>D152*12*1490000</f>
        <v>160173510.00000003</v>
      </c>
      <c r="X152" s="114"/>
      <c r="Y152" s="620"/>
      <c r="Z152" s="621"/>
      <c r="AA152" s="621"/>
      <c r="AB152" s="621"/>
      <c r="AC152" s="621"/>
    </row>
    <row r="153" spans="1:24" s="42" customFormat="1" ht="29.25" customHeight="1">
      <c r="A153" s="204" t="s">
        <v>301</v>
      </c>
      <c r="B153" s="205" t="s">
        <v>81</v>
      </c>
      <c r="C153" s="237">
        <v>3</v>
      </c>
      <c r="D153" s="206">
        <f>SUM(D154:D158)</f>
        <v>29.053499999999996</v>
      </c>
      <c r="E153" s="206">
        <f aca="true" t="shared" si="54" ref="E153:V153">SUM(E154:E158)</f>
        <v>12.12</v>
      </c>
      <c r="F153" s="206">
        <f t="shared" si="54"/>
        <v>14.094000000000001</v>
      </c>
      <c r="G153" s="206">
        <f t="shared" si="54"/>
        <v>2.8</v>
      </c>
      <c r="H153" s="206">
        <f t="shared" si="54"/>
        <v>0.5</v>
      </c>
      <c r="I153" s="206">
        <f t="shared" si="54"/>
        <v>0</v>
      </c>
      <c r="J153" s="206">
        <f t="shared" si="54"/>
        <v>5.140000000000001</v>
      </c>
      <c r="K153" s="206">
        <f t="shared" si="54"/>
        <v>0</v>
      </c>
      <c r="L153" s="206">
        <f t="shared" si="54"/>
        <v>0</v>
      </c>
      <c r="M153" s="206">
        <f t="shared" si="54"/>
        <v>0</v>
      </c>
      <c r="N153" s="206">
        <f t="shared" si="54"/>
        <v>2.5700000000000003</v>
      </c>
      <c r="O153" s="206">
        <f t="shared" si="54"/>
        <v>0</v>
      </c>
      <c r="P153" s="206">
        <f t="shared" si="54"/>
        <v>0</v>
      </c>
      <c r="Q153" s="206">
        <f t="shared" si="54"/>
        <v>0</v>
      </c>
      <c r="R153" s="206">
        <f t="shared" si="54"/>
        <v>0</v>
      </c>
      <c r="S153" s="206">
        <f t="shared" si="54"/>
        <v>3.0839999999999996</v>
      </c>
      <c r="T153" s="206">
        <f t="shared" si="54"/>
        <v>0</v>
      </c>
      <c r="U153" s="206">
        <f t="shared" si="54"/>
        <v>0</v>
      </c>
      <c r="V153" s="206">
        <f t="shared" si="54"/>
        <v>2.8395</v>
      </c>
      <c r="W153" s="206">
        <f>SUM(W154:W158)</f>
        <v>277662245</v>
      </c>
      <c r="X153" s="238"/>
    </row>
    <row r="154" spans="1:29" s="154" customFormat="1" ht="30.75" customHeight="1">
      <c r="A154" s="239" t="s">
        <v>289</v>
      </c>
      <c r="B154" s="240" t="s">
        <v>295</v>
      </c>
      <c r="C154" s="87"/>
      <c r="D154" s="114">
        <f>E154+F154+V154</f>
        <v>5.9325</v>
      </c>
      <c r="E154" s="241">
        <v>2.1</v>
      </c>
      <c r="F154" s="114">
        <f>SUM(G154:U154)</f>
        <v>3.315</v>
      </c>
      <c r="G154" s="114">
        <v>0.7</v>
      </c>
      <c r="H154" s="217">
        <v>0.2</v>
      </c>
      <c r="I154" s="114"/>
      <c r="J154" s="114">
        <f>(E154+H154)*50%</f>
        <v>1.1500000000000001</v>
      </c>
      <c r="K154" s="114"/>
      <c r="L154" s="114"/>
      <c r="M154" s="114"/>
      <c r="N154" s="114">
        <f>(E154+H154)*25%</f>
        <v>0.5750000000000001</v>
      </c>
      <c r="O154" s="114"/>
      <c r="P154" s="114"/>
      <c r="Q154" s="114"/>
      <c r="R154" s="114"/>
      <c r="S154" s="114">
        <f>(E154+H154)*30%</f>
        <v>0.6900000000000001</v>
      </c>
      <c r="T154" s="114"/>
      <c r="U154" s="114"/>
      <c r="V154" s="114">
        <f>(E154+H154)*22.5%</f>
        <v>0.5175000000000001</v>
      </c>
      <c r="W154" s="115">
        <f>D154*12*1490000</f>
        <v>106073100</v>
      </c>
      <c r="X154" s="114"/>
      <c r="Y154" s="620"/>
      <c r="Z154" s="621"/>
      <c r="AA154" s="621"/>
      <c r="AB154" s="621"/>
      <c r="AC154" s="621"/>
    </row>
    <row r="155" spans="1:24" s="154" customFormat="1" ht="30.75" customHeight="1">
      <c r="A155" s="239" t="s">
        <v>206</v>
      </c>
      <c r="B155" s="240" t="s">
        <v>104</v>
      </c>
      <c r="C155" s="116"/>
      <c r="D155" s="114">
        <f>E155+F155+V155</f>
        <v>6.0235</v>
      </c>
      <c r="E155" s="241">
        <v>2.34</v>
      </c>
      <c r="F155" s="114">
        <f>SUM(G155:U155)</f>
        <v>3.157</v>
      </c>
      <c r="G155" s="114">
        <v>0.7</v>
      </c>
      <c r="H155" s="217"/>
      <c r="I155" s="117"/>
      <c r="J155" s="114">
        <f>(E155+H155)*50%</f>
        <v>1.17</v>
      </c>
      <c r="K155" s="117"/>
      <c r="L155" s="117"/>
      <c r="M155" s="117"/>
      <c r="N155" s="114">
        <f>(E155+H155)*25%</f>
        <v>0.585</v>
      </c>
      <c r="O155" s="114"/>
      <c r="P155" s="117"/>
      <c r="Q155" s="117"/>
      <c r="R155" s="117"/>
      <c r="S155" s="114">
        <f>(E155+H155)*30%</f>
        <v>0.702</v>
      </c>
      <c r="T155" s="114"/>
      <c r="U155" s="117"/>
      <c r="V155" s="114">
        <f>(E155+H155)*22.5%</f>
        <v>0.5265</v>
      </c>
      <c r="W155" s="115">
        <f>D155*1*1490000</f>
        <v>8975015</v>
      </c>
      <c r="X155" s="118"/>
    </row>
    <row r="156" spans="1:24" s="154" customFormat="1" ht="30.75" customHeight="1">
      <c r="A156" s="239"/>
      <c r="B156" s="240" t="s">
        <v>104</v>
      </c>
      <c r="C156" s="116"/>
      <c r="D156" s="114">
        <f>E156+F156+V156</f>
        <v>6.774249999999999</v>
      </c>
      <c r="E156" s="242">
        <v>2.67</v>
      </c>
      <c r="F156" s="114">
        <f>SUM(G156:U156)</f>
        <v>3.5035</v>
      </c>
      <c r="G156" s="114">
        <v>0.7</v>
      </c>
      <c r="H156" s="243"/>
      <c r="I156" s="117"/>
      <c r="J156" s="114">
        <f>(E156+H156)*50%</f>
        <v>1.335</v>
      </c>
      <c r="K156" s="117"/>
      <c r="L156" s="117"/>
      <c r="M156" s="117"/>
      <c r="N156" s="114">
        <f>(E156+H156)*25%</f>
        <v>0.6675</v>
      </c>
      <c r="O156" s="117"/>
      <c r="P156" s="117"/>
      <c r="Q156" s="117"/>
      <c r="R156" s="117"/>
      <c r="S156" s="114">
        <f>(E156+H156)*30%</f>
        <v>0.8009999999999999</v>
      </c>
      <c r="T156" s="114"/>
      <c r="U156" s="117"/>
      <c r="V156" s="114">
        <f>(E156+H156)*22.5%</f>
        <v>0.60075</v>
      </c>
      <c r="W156" s="115">
        <f>D156*9*1490000</f>
        <v>90842692.5</v>
      </c>
      <c r="X156" s="244"/>
    </row>
    <row r="157" spans="1:24" s="154" customFormat="1" ht="30.75" customHeight="1">
      <c r="A157" s="239">
        <v>3</v>
      </c>
      <c r="B157" s="240" t="s">
        <v>291</v>
      </c>
      <c r="C157" s="87"/>
      <c r="D157" s="114">
        <f>E157+F157+V157</f>
        <v>2.8665</v>
      </c>
      <c r="E157" s="114">
        <v>2.34</v>
      </c>
      <c r="F157" s="114">
        <f>SUM(G157:U157)</f>
        <v>0</v>
      </c>
      <c r="G157" s="114">
        <v>0</v>
      </c>
      <c r="H157" s="87">
        <v>0</v>
      </c>
      <c r="I157" s="87"/>
      <c r="J157" s="114">
        <v>0</v>
      </c>
      <c r="K157" s="87"/>
      <c r="L157" s="87"/>
      <c r="M157" s="87"/>
      <c r="N157" s="87"/>
      <c r="O157" s="87"/>
      <c r="P157" s="87"/>
      <c r="Q157" s="87"/>
      <c r="R157" s="87"/>
      <c r="S157" s="114"/>
      <c r="T157" s="87"/>
      <c r="U157" s="87"/>
      <c r="V157" s="114">
        <f>(E157+H157)*22.5%</f>
        <v>0.5265</v>
      </c>
      <c r="W157" s="115">
        <f>D157*9*1490000</f>
        <v>38439764.99999999</v>
      </c>
      <c r="X157" s="118"/>
    </row>
    <row r="158" spans="1:24" ht="30.75" customHeight="1">
      <c r="A158" s="252"/>
      <c r="B158" s="249" t="s">
        <v>29</v>
      </c>
      <c r="C158" s="250"/>
      <c r="D158" s="114">
        <f>E158+F158+V158</f>
        <v>7.4567499999999995</v>
      </c>
      <c r="E158" s="250">
        <v>2.67</v>
      </c>
      <c r="F158" s="114">
        <f>SUM(G158:U158)</f>
        <v>4.1185</v>
      </c>
      <c r="G158" s="250">
        <v>0.7</v>
      </c>
      <c r="H158" s="250">
        <v>0.3</v>
      </c>
      <c r="I158" s="250"/>
      <c r="J158" s="250">
        <f>(E158+H158)*50%</f>
        <v>1.4849999999999999</v>
      </c>
      <c r="K158" s="250"/>
      <c r="L158" s="250"/>
      <c r="M158" s="250"/>
      <c r="N158" s="250">
        <f>(E158+H158)*25%</f>
        <v>0.7424999999999999</v>
      </c>
      <c r="O158" s="250"/>
      <c r="P158" s="250"/>
      <c r="Q158" s="250"/>
      <c r="R158" s="250"/>
      <c r="S158" s="114">
        <f>(E158+H158)*30%</f>
        <v>0.8909999999999999</v>
      </c>
      <c r="T158" s="250"/>
      <c r="U158" s="250"/>
      <c r="V158" s="114">
        <f>(E158+H158)*22.5%</f>
        <v>0.66825</v>
      </c>
      <c r="W158" s="251">
        <f>D158*1490000*3</f>
        <v>33331672.5</v>
      </c>
      <c r="X158" s="248"/>
    </row>
  </sheetData>
  <sheetProtection/>
  <mergeCells count="32">
    <mergeCell ref="A114:A116"/>
    <mergeCell ref="B114:B116"/>
    <mergeCell ref="A121:A122"/>
    <mergeCell ref="B121:B122"/>
    <mergeCell ref="A130:A131"/>
    <mergeCell ref="B130:B131"/>
    <mergeCell ref="A99:A100"/>
    <mergeCell ref="B99:B100"/>
    <mergeCell ref="A101:A103"/>
    <mergeCell ref="B101:B103"/>
    <mergeCell ref="A104:A105"/>
    <mergeCell ref="B104:B105"/>
    <mergeCell ref="Y145:AC145"/>
    <mergeCell ref="Y148:AC148"/>
    <mergeCell ref="Y152:AC152"/>
    <mergeCell ref="Y154:AC154"/>
    <mergeCell ref="V8:V9"/>
    <mergeCell ref="A2:C2"/>
    <mergeCell ref="A4:X4"/>
    <mergeCell ref="A5:X5"/>
    <mergeCell ref="A7:A9"/>
    <mergeCell ref="B7:B9"/>
    <mergeCell ref="C7:C9"/>
    <mergeCell ref="D7:V7"/>
    <mergeCell ref="W7:W9"/>
    <mergeCell ref="X7:X9"/>
    <mergeCell ref="D8:D9"/>
    <mergeCell ref="Y139:AC139"/>
    <mergeCell ref="Y32:AC32"/>
    <mergeCell ref="E8:E9"/>
    <mergeCell ref="F8:F9"/>
    <mergeCell ref="G8:U8"/>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4" sqref="A4"/>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VP</cp:lastModifiedBy>
  <cp:lastPrinted>2021-06-21T09:59:47Z</cp:lastPrinted>
  <dcterms:created xsi:type="dcterms:W3CDTF">2020-08-13T08:34:12Z</dcterms:created>
  <dcterms:modified xsi:type="dcterms:W3CDTF">2021-06-22T00:52:52Z</dcterms:modified>
  <cp:category/>
  <cp:version/>
  <cp:contentType/>
  <cp:contentStatus/>
</cp:coreProperties>
</file>