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ownloads\kỳ họp chuyên đề tháng 5\Dự thảo NQ\"/>
    </mc:Choice>
  </mc:AlternateContent>
  <bookViews>
    <workbookView xWindow="1200" yWindow="140" windowWidth="9420" windowHeight="4500" tabRatio="837" activeTab="14"/>
  </bookViews>
  <sheets>
    <sheet name="48_" sheetId="57" r:id="rId1"/>
    <sheet name="49_" sheetId="58" state="hidden" r:id="rId2"/>
    <sheet name="50,," sheetId="79" r:id="rId3"/>
    <sheet name="50" sheetId="76" state="hidden" r:id="rId4"/>
    <sheet name="PL5137" sheetId="81" r:id="rId5"/>
    <sheet name="52,." sheetId="82" r:id="rId6"/>
    <sheet name="PL5338" sheetId="83" r:id="rId7"/>
    <sheet name="54 (2)" sheetId="74" r:id="rId8"/>
    <sheet name="55" sheetId="71" state="hidden" r:id="rId9"/>
    <sheet name="56" sheetId="62" state="hidden" r:id="rId10"/>
    <sheet name="PL5840" sheetId="84" r:id="rId11"/>
    <sheet name="59" sheetId="36" r:id="rId12"/>
    <sheet name="60" sheetId="66" state="hidden" r:id="rId13"/>
    <sheet name="61" sheetId="69" r:id="rId14"/>
    <sheet name=" PL63nd31 (2)" sheetId="75" r:id="rId15"/>
    <sheet name="nhap mtqg" sheetId="78" state="hidden" r:id="rId16"/>
    <sheet name="Sheet2" sheetId="80" state="hidden" r:id="rId17"/>
  </sheets>
  <definedNames>
    <definedName name="\T" localSheetId="7">#REF!</definedName>
    <definedName name="\T">#REF!</definedName>
    <definedName name="_">#N/A</definedName>
    <definedName name="_??" localSheetId="7">BlankMacro1</definedName>
    <definedName name="_??">BlankMacro1</definedName>
    <definedName name="_??????1" localSheetId="7">BlankMacro1</definedName>
    <definedName name="_??????1">BlankMacro1</definedName>
    <definedName name="_??????2" localSheetId="7">BlankMacro1</definedName>
    <definedName name="_??????2">BlankMacro1</definedName>
    <definedName name="_??????3" localSheetId="7">BlankMacro1</definedName>
    <definedName name="_??????3">BlankMacro1</definedName>
    <definedName name="_??????4" localSheetId="7">BlankMacro1</definedName>
    <definedName name="_??????4">BlankMacro1</definedName>
    <definedName name="_??????5" localSheetId="7">BlankMacro1</definedName>
    <definedName name="_??????5">BlankMacro1</definedName>
    <definedName name="_??????6" localSheetId="7">BlankMacro1</definedName>
    <definedName name="_??????6">BlankMacro1</definedName>
    <definedName name="__">#N/A</definedName>
    <definedName name="___">#N/A</definedName>
    <definedName name="___??" localSheetId="7">BlankMacro1</definedName>
    <definedName name="___??">BlankMacro1</definedName>
    <definedName name="___??????1" localSheetId="7">BlankMacro1</definedName>
    <definedName name="___??????1">BlankMacro1</definedName>
    <definedName name="___??????2" localSheetId="7">BlankMacro1</definedName>
    <definedName name="___??????2">BlankMacro1</definedName>
    <definedName name="___??????3" localSheetId="7">BlankMacro1</definedName>
    <definedName name="___??????3">BlankMacro1</definedName>
    <definedName name="___??????4" localSheetId="7">BlankMacro1</definedName>
    <definedName name="___??????4">BlankMacro1</definedName>
    <definedName name="___??????5" localSheetId="7">BlankMacro1</definedName>
    <definedName name="___??????5">BlankMacro1</definedName>
    <definedName name="___??????6" localSheetId="7">BlankMacro1</definedName>
    <definedName name="___??????6">BlankMacro1</definedName>
    <definedName name="____">#N/A</definedName>
    <definedName name="____??" localSheetId="7">BlankMacro1</definedName>
    <definedName name="____??">BlankMacro1</definedName>
    <definedName name="____??????1" localSheetId="7">BlankMacro1</definedName>
    <definedName name="____??????1">BlankMacro1</definedName>
    <definedName name="____??????2" localSheetId="7">BlankMacro1</definedName>
    <definedName name="____??????2">BlankMacro1</definedName>
    <definedName name="____??????3" localSheetId="7">BlankMacro1</definedName>
    <definedName name="____??????3">BlankMacro1</definedName>
    <definedName name="____??????4" localSheetId="7">BlankMacro1</definedName>
    <definedName name="____??????4">BlankMacro1</definedName>
    <definedName name="____??????5" localSheetId="7">BlankMacro1</definedName>
    <definedName name="____??????5">BlankMacro1</definedName>
    <definedName name="____??????6" localSheetId="7">BlankMacro1</definedName>
    <definedName name="____??????6">BlankMacro1</definedName>
    <definedName name="_____">#N/A</definedName>
    <definedName name="______">#N/A</definedName>
    <definedName name="______??" localSheetId="7">BlankMacro1</definedName>
    <definedName name="______??">BlankMacro1</definedName>
    <definedName name="______??????1" localSheetId="7">BlankMacro1</definedName>
    <definedName name="______??????1">BlankMacro1</definedName>
    <definedName name="______??????2" localSheetId="7">BlankMacro1</definedName>
    <definedName name="______??????2">BlankMacro1</definedName>
    <definedName name="______??????3" localSheetId="7">BlankMacro1</definedName>
    <definedName name="______??????3">BlankMacro1</definedName>
    <definedName name="______??????4" localSheetId="7">BlankMacro1</definedName>
    <definedName name="______??????4">BlankMacro1</definedName>
    <definedName name="______??????5" localSheetId="7">BlankMacro1</definedName>
    <definedName name="______??????5">BlankMacro1</definedName>
    <definedName name="______??????6" localSheetId="7">BlankMacro1</definedName>
    <definedName name="______??????6">BlankMacro1</definedName>
    <definedName name="_______">#N/A</definedName>
    <definedName name="________??" localSheetId="7">BlankMacro1</definedName>
    <definedName name="________??">BlankMacro1</definedName>
    <definedName name="________??????1" localSheetId="7">BlankMacro1</definedName>
    <definedName name="________??????1">BlankMacro1</definedName>
    <definedName name="________??????2" localSheetId="7">BlankMacro1</definedName>
    <definedName name="________??????2">BlankMacro1</definedName>
    <definedName name="________??????3" localSheetId="7">BlankMacro1</definedName>
    <definedName name="________??????3">BlankMacro1</definedName>
    <definedName name="________??????4" localSheetId="7">BlankMacro1</definedName>
    <definedName name="________??????4">BlankMacro1</definedName>
    <definedName name="________??????5" localSheetId="7">BlankMacro1</definedName>
    <definedName name="________??????5">BlankMacro1</definedName>
    <definedName name="________??????6" localSheetId="7">BlankMacro1</definedName>
    <definedName name="________??????6">BlankMacro1</definedName>
    <definedName name="________ban2" hidden="1">{"'Sheet1'!$L$16"}</definedName>
    <definedName name="________cep1" hidden="1">{"'Sheet1'!$L$16"}</definedName>
    <definedName name="________Coc39" hidden="1">{"'Sheet1'!$L$16"}</definedName>
    <definedName name="________Goi8" hidden="1">{"'Sheet1'!$L$16"}</definedName>
    <definedName name="________HUY1" hidden="1">{"'Sheet1'!$L$16"}</definedName>
    <definedName name="________HUY2" hidden="1">{"'Sheet1'!$L$16"}</definedName>
    <definedName name="________Lan1" hidden="1">{"'Sheet1'!$L$16"}</definedName>
    <definedName name="________LAN3" hidden="1">{"'Sheet1'!$L$16"}</definedName>
    <definedName name="________lk2" hidden="1">{"'Sheet1'!$L$16"}</definedName>
    <definedName name="________NSO2" hidden="1">{"'Sheet1'!$L$16"}</definedName>
    <definedName name="________PA3" hidden="1">{"'Sheet1'!$L$16"}</definedName>
    <definedName name="________Pl2" hidden="1">{"'Sheet1'!$L$16"}</definedName>
    <definedName name="________tb2" localSheetId="7">BlankMacro1</definedName>
    <definedName name="________tb2">BlankMacro1</definedName>
    <definedName name="________tt3" hidden="1">{"'Sheet1'!$L$16"}</definedName>
    <definedName name="________TT31" hidden="1">{"'Sheet1'!$L$16"}</definedName>
    <definedName name="________Tru21" hidden="1">{"'Sheet1'!$L$16"}</definedName>
    <definedName name="________VM2" hidden="1">{"'Sheet1'!$L$16"}</definedName>
    <definedName name="_______CON1">#REF!</definedName>
    <definedName name="_______CON2">#REF!</definedName>
    <definedName name="_______NET2">#REF!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an2" hidden="1">{"'Sheet1'!$L$16"}</definedName>
    <definedName name="______boi1">#REF!</definedName>
    <definedName name="______boi2">#REF!</definedName>
    <definedName name="______BTM150">#REF!</definedName>
    <definedName name="______BTM2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ep1" hidden="1">{"'Sheet1'!$L$16"}</definedName>
    <definedName name="______coc250">#REF!</definedName>
    <definedName name="______coc300">#REF!</definedName>
    <definedName name="______coc350">#REF!</definedName>
    <definedName name="______Coc39" hidden="1">{"'Sheet1'!$L$16"}</definedName>
    <definedName name="______CON1" localSheetId="7">#REF!</definedName>
    <definedName name="______CON1">#REF!</definedName>
    <definedName name="______CON2" localSheetId="7">#REF!</definedName>
    <definedName name="______CON2">#REF!</definedName>
    <definedName name="______cot4" localSheetId="7">#REF!</definedName>
    <definedName name="______cot4">#REF!</definedName>
    <definedName name="______cpd1">#REF!</definedName>
    <definedName name="______cpd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AO3" localSheetId="7">#REF!</definedName>
    <definedName name="______DAO3">#REF!</definedName>
    <definedName name="______DAP3" localSheetId="7">#REF!</definedName>
    <definedName name="______DAP3">#REF!</definedName>
    <definedName name="______ddn400">#REF!</definedName>
    <definedName name="______ddn600">#REF!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E99999" localSheetId="7">#REF!</definedName>
    <definedName name="______E99999">#REF!</definedName>
    <definedName name="______f409408" localSheetId="7">#REF!</definedName>
    <definedName name="______f409408">#REF!</definedName>
    <definedName name="______Goi8" hidden="1">{"'Sheet1'!$L$16"}</definedName>
    <definedName name="______gon4">#REF!</definedName>
    <definedName name="______hsm2">1.1289</definedName>
    <definedName name="______HUY1" hidden="1">{"'Sheet1'!$L$16"}</definedName>
    <definedName name="______HUY2" hidden="1">{"'Sheet1'!$L$16"}</definedName>
    <definedName name="______isc1">0.035</definedName>
    <definedName name="______isc2">0.02</definedName>
    <definedName name="______isc3">0.054</definedName>
    <definedName name="______Kks1">#REF!</definedName>
    <definedName name="______Kks2">#REF!</definedName>
    <definedName name="______KM188" localSheetId="7">#REF!</definedName>
    <definedName name="______KM188">#REF!</definedName>
    <definedName name="______km189" localSheetId="7">#REF!</definedName>
    <definedName name="______km189">#REF!</definedName>
    <definedName name="______km190">#REF!</definedName>
    <definedName name="______km191">#REF!</definedName>
    <definedName name="______km192">#REF!</definedName>
    <definedName name="______km193" localSheetId="7">#REF!</definedName>
    <definedName name="______km193">#REF!</definedName>
    <definedName name="______km194" localSheetId="7">#REF!</definedName>
    <definedName name="______km194">#REF!</definedName>
    <definedName name="______km195" localSheetId="7">#REF!</definedName>
    <definedName name="______km195">#REF!</definedName>
    <definedName name="______km196" localSheetId="7">#REF!</definedName>
    <definedName name="______km196">#REF!</definedName>
    <definedName name="______km197" localSheetId="7">#REF!</definedName>
    <definedName name="______km197">#REF!</definedName>
    <definedName name="______km198" localSheetId="7">#REF!</definedName>
    <definedName name="______km198">#REF!</definedName>
    <definedName name="______Lan1" hidden="1">{"'Sheet1'!$L$16"}</definedName>
    <definedName name="______LAN3" hidden="1">{"'Sheet1'!$L$16"}</definedName>
    <definedName name="______lap1">#REF!</definedName>
    <definedName name="______lap2">#REF!</definedName>
    <definedName name="______lk2" hidden="1">{"'Sheet1'!$L$16"}</definedName>
    <definedName name="______MAC12">#REF!</definedName>
    <definedName name="______MAC46">#REF!</definedName>
    <definedName name="______MN124">#REF!</definedName>
    <definedName name="______nc151">#REF!</definedName>
    <definedName name="______NCL100" localSheetId="7">#REF!</definedName>
    <definedName name="______NCL100">#REF!</definedName>
    <definedName name="______NCL200" localSheetId="7">#REF!</definedName>
    <definedName name="______NCL200">#REF!</definedName>
    <definedName name="______NCL250" localSheetId="7">#REF!</definedName>
    <definedName name="______NCL250">#REF!</definedName>
    <definedName name="______NET2" localSheetId="7">#REF!</definedName>
    <definedName name="______NET2">#REF!</definedName>
    <definedName name="______nin190" localSheetId="7">#REF!</definedName>
    <definedName name="______nin190">#REF!</definedName>
    <definedName name="______NSO2" hidden="1">{"'Sheet1'!$L$16"}</definedName>
    <definedName name="______PA3" hidden="1">{"'Sheet1'!$L$16"}</definedName>
    <definedName name="______Pl2"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Sat27">#REF!</definedName>
    <definedName name="______sc1">#REF!</definedName>
    <definedName name="______SC2">#REF!</definedName>
    <definedName name="______sc3">#REF!</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 localSheetId="7">#REF!</definedName>
    <definedName name="______SN3">#REF!</definedName>
    <definedName name="______SOC10">0.3456</definedName>
    <definedName name="______SOC8">0.2827</definedName>
    <definedName name="______Sta1">531.877</definedName>
    <definedName name="______Sta2">561.952</definedName>
    <definedName name="______Sta3">712.202</definedName>
    <definedName name="______Sta4">762.202</definedName>
    <definedName name="______STD0898">#REF!</definedName>
    <definedName name="______TB1" localSheetId="7">#REF!</definedName>
    <definedName name="______TB1">#REF!</definedName>
    <definedName name="______tb2" localSheetId="7">BlankMacro1</definedName>
    <definedName name="______tb2">BlankMacro1</definedName>
    <definedName name="______TCO2" localSheetId="7">#REF!</definedName>
    <definedName name="______TCO2">#REF!</definedName>
    <definedName name="______TCO3" localSheetId="7">#REF!</definedName>
    <definedName name="______TCO3">#REF!</definedName>
    <definedName name="______tg1" localSheetId="7">#REF!</definedName>
    <definedName name="______tg1">#REF!</definedName>
    <definedName name="______tg427">#REF!</definedName>
    <definedName name="______TK622">#REF!</definedName>
    <definedName name="______TL1">#REF!</definedName>
    <definedName name="______TL2">#REF!</definedName>
    <definedName name="______TL3" localSheetId="7">#REF!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t3" hidden="1">{"'Sheet1'!$L$16"}</definedName>
    <definedName name="______TT31" hidden="1">{"'Sheet1'!$L$16"}</definedName>
    <definedName name="______tz593" localSheetId="7">#REF!</definedName>
    <definedName name="______tz593">#REF!</definedName>
    <definedName name="______TH20">#REF!</definedName>
    <definedName name="______Tru21" hidden="1">{"'Sheet1'!$L$16"}</definedName>
    <definedName name="______VL100" localSheetId="7">#REF!</definedName>
    <definedName name="______VL100">#REF!</definedName>
    <definedName name="______VL200" localSheetId="7">#REF!</definedName>
    <definedName name="______VL200">#REF!</definedName>
    <definedName name="______VL250" localSheetId="7">#REF!</definedName>
    <definedName name="______VL250">#REF!</definedName>
    <definedName name="______VM2" hidden="1">{"'Sheet1'!$L$16"}</definedName>
    <definedName name="_____atn1" localSheetId="7">#REF!</definedName>
    <definedName name="_____atn1">#REF!</definedName>
    <definedName name="_____atn10" localSheetId="7">#REF!</definedName>
    <definedName name="_____atn10">#REF!</definedName>
    <definedName name="_____atn2" localSheetId="7">#REF!</definedName>
    <definedName name="_____atn2">#REF!</definedName>
    <definedName name="_____atn3" localSheetId="7">#REF!</definedName>
    <definedName name="_____atn3">#REF!</definedName>
    <definedName name="_____atn4" localSheetId="7">#REF!</definedName>
    <definedName name="_____atn4">#REF!</definedName>
    <definedName name="_____atn5" localSheetId="7">#REF!</definedName>
    <definedName name="_____atn5">#REF!</definedName>
    <definedName name="_____atn6" localSheetId="7">#REF!</definedName>
    <definedName name="_____atn6">#REF!</definedName>
    <definedName name="_____atn7" localSheetId="7">#REF!</definedName>
    <definedName name="_____atn7">#REF!</definedName>
    <definedName name="_____atn8" localSheetId="7">#REF!</definedName>
    <definedName name="_____atn8">#REF!</definedName>
    <definedName name="_____atn9" localSheetId="7">#REF!</definedName>
    <definedName name="_____atn9">#REF!</definedName>
    <definedName name="_____ban2" hidden="1">{"'Sheet1'!$L$16"}</definedName>
    <definedName name="_____boi1" localSheetId="7">#REF!</definedName>
    <definedName name="_____boi1">#REF!</definedName>
    <definedName name="_____boi2" localSheetId="7">#REF!</definedName>
    <definedName name="_____boi2">#REF!</definedName>
    <definedName name="_____BTM150" localSheetId="7">#REF!</definedName>
    <definedName name="_____BTM150">#REF!</definedName>
    <definedName name="_____BTM200" localSheetId="7">#REF!</definedName>
    <definedName name="_____BTM200">#REF!</definedName>
    <definedName name="_____BTM250" localSheetId="7">#REF!</definedName>
    <definedName name="_____BTM250">#REF!</definedName>
    <definedName name="_____BTM300" localSheetId="7">#REF!</definedName>
    <definedName name="_____BTM300">#REF!</definedName>
    <definedName name="_____cao1" localSheetId="7">#REF!</definedName>
    <definedName name="_____cao1">#REF!</definedName>
    <definedName name="_____cao2" localSheetId="7">#REF!</definedName>
    <definedName name="_____cao2">#REF!</definedName>
    <definedName name="_____cao3" localSheetId="7">#REF!</definedName>
    <definedName name="_____cao3">#REF!</definedName>
    <definedName name="_____cao4" localSheetId="7">#REF!</definedName>
    <definedName name="_____cao4">#REF!</definedName>
    <definedName name="_____cao5" localSheetId="7">#REF!</definedName>
    <definedName name="_____cao5">#REF!</definedName>
    <definedName name="_____cao6" localSheetId="7">#REF!</definedName>
    <definedName name="_____cao6">#REF!</definedName>
    <definedName name="_____cep1" hidden="1">{"'Sheet1'!$L$16"}</definedName>
    <definedName name="_____coc250" localSheetId="7">#REF!</definedName>
    <definedName name="_____coc250">#REF!</definedName>
    <definedName name="_____coc300" localSheetId="7">#REF!</definedName>
    <definedName name="_____coc300">#REF!</definedName>
    <definedName name="_____coc350" localSheetId="7">#REF!</definedName>
    <definedName name="_____coc350">#REF!</definedName>
    <definedName name="_____Coc39" hidden="1">{"'Sheet1'!$L$16"}</definedName>
    <definedName name="_____CON1" localSheetId="7">#REF!</definedName>
    <definedName name="_____CON1">#REF!</definedName>
    <definedName name="_____CON2" localSheetId="7">#REF!</definedName>
    <definedName name="_____CON2">#REF!</definedName>
    <definedName name="_____cot4" localSheetId="7">#REF!</definedName>
    <definedName name="_____cot4">#REF!</definedName>
    <definedName name="_____cpd1" localSheetId="7">#REF!</definedName>
    <definedName name="_____cpd1">#REF!</definedName>
    <definedName name="_____cpd2" localSheetId="7">#REF!</definedName>
    <definedName name="_____cpd2">#REF!</definedName>
    <definedName name="_____dai1" localSheetId="7">#REF!</definedName>
    <definedName name="_____dai1">#REF!</definedName>
    <definedName name="_____dai2" localSheetId="7">#REF!</definedName>
    <definedName name="_____dai2">#REF!</definedName>
    <definedName name="_____dai3" localSheetId="7">#REF!</definedName>
    <definedName name="_____dai3">#REF!</definedName>
    <definedName name="_____dai4" localSheetId="7">#REF!</definedName>
    <definedName name="_____dai4">#REF!</definedName>
    <definedName name="_____dai5" localSheetId="7">#REF!</definedName>
    <definedName name="_____dai5">#REF!</definedName>
    <definedName name="_____dai6" localSheetId="7">#REF!</definedName>
    <definedName name="_____dai6">#REF!</definedName>
    <definedName name="_____dan1" localSheetId="7">#REF!</definedName>
    <definedName name="_____dan1">#REF!</definedName>
    <definedName name="_____dan2" localSheetId="7">#REF!</definedName>
    <definedName name="_____dan2">#REF!</definedName>
    <definedName name="_____DAO3" localSheetId="7">#REF!</definedName>
    <definedName name="_____DAO3">#REF!</definedName>
    <definedName name="_____DAP3" localSheetId="7">#REF!</definedName>
    <definedName name="_____DAP3">#REF!</definedName>
    <definedName name="_____ddn400" localSheetId="7">#REF!</definedName>
    <definedName name="_____ddn400">#REF!</definedName>
    <definedName name="_____ddn600" localSheetId="7">#REF!</definedName>
    <definedName name="_____ddn600">#REF!</definedName>
    <definedName name="_____deo1" localSheetId="7">#REF!</definedName>
    <definedName name="_____deo1">#REF!</definedName>
    <definedName name="_____deo10" localSheetId="7">#REF!</definedName>
    <definedName name="_____deo10">#REF!</definedName>
    <definedName name="_____deo2" localSheetId="7">#REF!</definedName>
    <definedName name="_____deo2">#REF!</definedName>
    <definedName name="_____deo3" localSheetId="7">#REF!</definedName>
    <definedName name="_____deo3">#REF!</definedName>
    <definedName name="_____deo4" localSheetId="7">#REF!</definedName>
    <definedName name="_____deo4">#REF!</definedName>
    <definedName name="_____deo5" localSheetId="7">#REF!</definedName>
    <definedName name="_____deo5">#REF!</definedName>
    <definedName name="_____deo6" localSheetId="7">#REF!</definedName>
    <definedName name="_____deo6">#REF!</definedName>
    <definedName name="_____deo7" localSheetId="7">#REF!</definedName>
    <definedName name="_____deo7">#REF!</definedName>
    <definedName name="_____deo8" localSheetId="7">#REF!</definedName>
    <definedName name="_____deo8">#REF!</definedName>
    <definedName name="_____deo9" localSheetId="7">#REF!</definedName>
    <definedName name="_____deo9">#REF!</definedName>
    <definedName name="_____E99999" localSheetId="7">#REF!</definedName>
    <definedName name="_____E99999">#REF!</definedName>
    <definedName name="_____f409408" localSheetId="7">#REF!</definedName>
    <definedName name="_____f409408">#REF!</definedName>
    <definedName name="_____Goi8" hidden="1">{"'Sheet1'!$L$16"}</definedName>
    <definedName name="_____gon4" localSheetId="7">#REF!</definedName>
    <definedName name="_____gon4">#REF!</definedName>
    <definedName name="_____hsm2">1.1289</definedName>
    <definedName name="_____HUY1" hidden="1">{"'Sheet1'!$L$16"}</definedName>
    <definedName name="_____HUY2" hidden="1">{"'Sheet1'!$L$16"}</definedName>
    <definedName name="_____isc1">0.035</definedName>
    <definedName name="_____isc2">0.02</definedName>
    <definedName name="_____isc3">0.054</definedName>
    <definedName name="_____Kks1" localSheetId="7">#REF!</definedName>
    <definedName name="_____Kks1">#REF!</definedName>
    <definedName name="_____Kks2" localSheetId="7">#REF!</definedName>
    <definedName name="_____Kks2">#REF!</definedName>
    <definedName name="_____KM188" localSheetId="7">#REF!</definedName>
    <definedName name="_____KM188">#REF!</definedName>
    <definedName name="_____km189" localSheetId="7">#REF!</definedName>
    <definedName name="_____km189">#REF!</definedName>
    <definedName name="_____km190" localSheetId="7">#REF!</definedName>
    <definedName name="_____km190">#REF!</definedName>
    <definedName name="_____km191" localSheetId="7">#REF!</definedName>
    <definedName name="_____km191">#REF!</definedName>
    <definedName name="_____km192" localSheetId="7">#REF!</definedName>
    <definedName name="_____km192">#REF!</definedName>
    <definedName name="_____km193" localSheetId="7">#REF!</definedName>
    <definedName name="_____km193">#REF!</definedName>
    <definedName name="_____km194" localSheetId="7">#REF!</definedName>
    <definedName name="_____km194">#REF!</definedName>
    <definedName name="_____km195" localSheetId="7">#REF!</definedName>
    <definedName name="_____km195">#REF!</definedName>
    <definedName name="_____km196" localSheetId="7">#REF!</definedName>
    <definedName name="_____km196">#REF!</definedName>
    <definedName name="_____km197" localSheetId="7">#REF!</definedName>
    <definedName name="_____km197">#REF!</definedName>
    <definedName name="_____km198" localSheetId="7">#REF!</definedName>
    <definedName name="_____km198">#REF!</definedName>
    <definedName name="_____Lan1" hidden="1">{"'Sheet1'!$L$16"}</definedName>
    <definedName name="_____LAN3" hidden="1">{"'Sheet1'!$L$16"}</definedName>
    <definedName name="_____lap1" localSheetId="7">#REF!</definedName>
    <definedName name="_____lap1">#REF!</definedName>
    <definedName name="_____lap2" localSheetId="7">#REF!</definedName>
    <definedName name="_____lap2">#REF!</definedName>
    <definedName name="_____lk2" hidden="1">{"'Sheet1'!$L$16"}</definedName>
    <definedName name="_____MAC12" localSheetId="7">#REF!</definedName>
    <definedName name="_____MAC12">#REF!</definedName>
    <definedName name="_____MAC46" localSheetId="7">#REF!</definedName>
    <definedName name="_____MAC46">#REF!</definedName>
    <definedName name="_____MN124" localSheetId="7">#REF!</definedName>
    <definedName name="_____MN124">#REF!</definedName>
    <definedName name="_____nc151" localSheetId="7">#REF!</definedName>
    <definedName name="_____nc151">#REF!</definedName>
    <definedName name="_____NCL100" localSheetId="7">#REF!</definedName>
    <definedName name="_____NCL100">#REF!</definedName>
    <definedName name="_____NCL200" localSheetId="7">#REF!</definedName>
    <definedName name="_____NCL200">#REF!</definedName>
    <definedName name="_____NCL250" localSheetId="7">#REF!</definedName>
    <definedName name="_____NCL250">#REF!</definedName>
    <definedName name="_____NET2" localSheetId="7">#REF!</definedName>
    <definedName name="_____NET2">#REF!</definedName>
    <definedName name="_____nin190" localSheetId="7">#REF!</definedName>
    <definedName name="_____nin190">#REF!</definedName>
    <definedName name="_____NSO2" localSheetId="2" hidden="1">{"'Sheet1'!$L$16"}</definedName>
    <definedName name="_____NSO2" localSheetId="5" hidden="1">{"'Sheet1'!$L$16"}</definedName>
    <definedName name="_____NSO2" hidden="1">{"'Sheet1'!$L$16"}</definedName>
    <definedName name="_____PA3" hidden="1">{"'Sheet1'!$L$16"}</definedName>
    <definedName name="_____Pl2" hidden="1">{"'Sheet1'!$L$16"}</definedName>
    <definedName name="_____phi10" localSheetId="7">#REF!</definedName>
    <definedName name="_____phi10">#REF!</definedName>
    <definedName name="_____phi12" localSheetId="7">#REF!</definedName>
    <definedName name="_____phi12">#REF!</definedName>
    <definedName name="_____phi14" localSheetId="7">#REF!</definedName>
    <definedName name="_____phi14">#REF!</definedName>
    <definedName name="_____phi16" localSheetId="7">#REF!</definedName>
    <definedName name="_____phi16">#REF!</definedName>
    <definedName name="_____phi18" localSheetId="7">#REF!</definedName>
    <definedName name="_____phi18">#REF!</definedName>
    <definedName name="_____phi20" localSheetId="7">#REF!</definedName>
    <definedName name="_____phi20">#REF!</definedName>
    <definedName name="_____phi22" localSheetId="7">#REF!</definedName>
    <definedName name="_____phi22">#REF!</definedName>
    <definedName name="_____phi25" localSheetId="7">#REF!</definedName>
    <definedName name="_____phi25">#REF!</definedName>
    <definedName name="_____phi28" localSheetId="7">#REF!</definedName>
    <definedName name="_____phi28">#REF!</definedName>
    <definedName name="_____phi6" localSheetId="7">#REF!</definedName>
    <definedName name="_____phi6">#REF!</definedName>
    <definedName name="_____phi8" localSheetId="7">#REF!</definedName>
    <definedName name="_____phi8">#REF!</definedName>
    <definedName name="_____Sat27" localSheetId="7">#REF!</definedName>
    <definedName name="_____Sat27">#REF!</definedName>
    <definedName name="_____sc1" localSheetId="7">#REF!</definedName>
    <definedName name="_____sc1">#REF!</definedName>
    <definedName name="_____SC2" localSheetId="7">#REF!</definedName>
    <definedName name="_____SC2">#REF!</definedName>
    <definedName name="_____sc3" localSheetId="7">#REF!</definedName>
    <definedName name="_____sc3">#REF!</definedName>
    <definedName name="_____slg1" localSheetId="7">#REF!</definedName>
    <definedName name="_____slg1">#REF!</definedName>
    <definedName name="_____slg2" localSheetId="7">#REF!</definedName>
    <definedName name="_____slg2">#REF!</definedName>
    <definedName name="_____slg3" localSheetId="7">#REF!</definedName>
    <definedName name="_____slg3">#REF!</definedName>
    <definedName name="_____slg4" localSheetId="7">#REF!</definedName>
    <definedName name="_____slg4">#REF!</definedName>
    <definedName name="_____slg5" localSheetId="7">#REF!</definedName>
    <definedName name="_____slg5">#REF!</definedName>
    <definedName name="_____slg6" localSheetId="7">#REF!</definedName>
    <definedName name="_____slg6">#REF!</definedName>
    <definedName name="_____SN3" localSheetId="7">#REF!</definedName>
    <definedName name="_____SN3">#REF!</definedName>
    <definedName name="_____SOC10">0.3456</definedName>
    <definedName name="_____SOC8">0.2827</definedName>
    <definedName name="_____Sta1">531.877</definedName>
    <definedName name="_____Sta2">561.952</definedName>
    <definedName name="_____Sta3">712.202</definedName>
    <definedName name="_____Sta4">762.202</definedName>
    <definedName name="_____STD0898" localSheetId="7">#REF!</definedName>
    <definedName name="_____STD0898">#REF!</definedName>
    <definedName name="_____TB1" localSheetId="7">#REF!</definedName>
    <definedName name="_____TB1">#REF!</definedName>
    <definedName name="_____TCO2" localSheetId="7">#REF!</definedName>
    <definedName name="_____TCO2">#REF!</definedName>
    <definedName name="_____TCO3" localSheetId="7">#REF!</definedName>
    <definedName name="_____TCO3">#REF!</definedName>
    <definedName name="_____tg1" localSheetId="7">#REF!</definedName>
    <definedName name="_____tg1">#REF!</definedName>
    <definedName name="_____tg427" localSheetId="7">#REF!</definedName>
    <definedName name="_____tg427">#REF!</definedName>
    <definedName name="_____TK622" localSheetId="7">#REF!</definedName>
    <definedName name="_____TK622">#REF!</definedName>
    <definedName name="_____TL1" localSheetId="7">#REF!</definedName>
    <definedName name="_____TL1">#REF!</definedName>
    <definedName name="_____TL2" localSheetId="7">#REF!</definedName>
    <definedName name="_____TL2">#REF!</definedName>
    <definedName name="_____TL3" localSheetId="7">#REF!</definedName>
    <definedName name="_____TL3">#REF!</definedName>
    <definedName name="_____TLA120" localSheetId="7">#REF!</definedName>
    <definedName name="_____TLA120">#REF!</definedName>
    <definedName name="_____TLA35" localSheetId="7">#REF!</definedName>
    <definedName name="_____TLA35">#REF!</definedName>
    <definedName name="_____TLA50" localSheetId="7">#REF!</definedName>
    <definedName name="_____TLA50">#REF!</definedName>
    <definedName name="_____TLA70" localSheetId="7">#REF!</definedName>
    <definedName name="_____TLA70">#REF!</definedName>
    <definedName name="_____TLA95" localSheetId="7">#REF!</definedName>
    <definedName name="_____TLA95">#REF!</definedName>
    <definedName name="_____tt3" hidden="1">{"'Sheet1'!$L$16"}</definedName>
    <definedName name="_____TT31" hidden="1">{"'Sheet1'!$L$16"}</definedName>
    <definedName name="_____tz593" localSheetId="7">#REF!</definedName>
    <definedName name="_____tz593">#REF!</definedName>
    <definedName name="_____TH20" localSheetId="7">#REF!</definedName>
    <definedName name="_____TH20">#REF!</definedName>
    <definedName name="_____Tru21" hidden="1">{"'Sheet1'!$L$16"}</definedName>
    <definedName name="_____VL100" localSheetId="7">#REF!</definedName>
    <definedName name="_____VL100">#REF!</definedName>
    <definedName name="_____VL200" localSheetId="7">#REF!</definedName>
    <definedName name="_____VL200">#REF!</definedName>
    <definedName name="_____VL250" localSheetId="7">#REF!</definedName>
    <definedName name="_____VL250">#REF!</definedName>
    <definedName name="_____VM2" hidden="1">{"'Sheet1'!$L$16"}</definedName>
    <definedName name="____atn1" localSheetId="7">#REF!</definedName>
    <definedName name="____atn1">#REF!</definedName>
    <definedName name="____atn10" localSheetId="7">#REF!</definedName>
    <definedName name="____atn10">#REF!</definedName>
    <definedName name="____atn2" localSheetId="7">#REF!</definedName>
    <definedName name="____atn2">#REF!</definedName>
    <definedName name="____atn3" localSheetId="7">#REF!</definedName>
    <definedName name="____atn3">#REF!</definedName>
    <definedName name="____atn4" localSheetId="7">#REF!</definedName>
    <definedName name="____atn4">#REF!</definedName>
    <definedName name="____atn5" localSheetId="7">#REF!</definedName>
    <definedName name="____atn5">#REF!</definedName>
    <definedName name="____atn6" localSheetId="7">#REF!</definedName>
    <definedName name="____atn6">#REF!</definedName>
    <definedName name="____atn7" localSheetId="7">#REF!</definedName>
    <definedName name="____atn7">#REF!</definedName>
    <definedName name="____atn8" localSheetId="7">#REF!</definedName>
    <definedName name="____atn8">#REF!</definedName>
    <definedName name="____atn9" localSheetId="7">#REF!</definedName>
    <definedName name="____atn9">#REF!</definedName>
    <definedName name="____ban2" localSheetId="2" hidden="1">{"'Sheet1'!$L$16"}</definedName>
    <definedName name="____ban2" localSheetId="5" hidden="1">{"'Sheet1'!$L$16"}</definedName>
    <definedName name="____ban2" hidden="1">{"'Sheet1'!$L$16"}</definedName>
    <definedName name="____boi1" localSheetId="7">#REF!</definedName>
    <definedName name="____boi1">#REF!</definedName>
    <definedName name="____boi2" localSheetId="7">#REF!</definedName>
    <definedName name="____boi2">#REF!</definedName>
    <definedName name="____BTM150" localSheetId="7">#REF!</definedName>
    <definedName name="____BTM150">#REF!</definedName>
    <definedName name="____BTM200" localSheetId="7">#REF!</definedName>
    <definedName name="____BTM200">#REF!</definedName>
    <definedName name="____BTM250" localSheetId="7">#REF!</definedName>
    <definedName name="____BTM250">#REF!</definedName>
    <definedName name="____BTM300" localSheetId="7">#REF!</definedName>
    <definedName name="____BTM300">#REF!</definedName>
    <definedName name="____cao1" localSheetId="7">#REF!</definedName>
    <definedName name="____cao1">#REF!</definedName>
    <definedName name="____cao2" localSheetId="7">#REF!</definedName>
    <definedName name="____cao2">#REF!</definedName>
    <definedName name="____cao3" localSheetId="7">#REF!</definedName>
    <definedName name="____cao3">#REF!</definedName>
    <definedName name="____cao4" localSheetId="7">#REF!</definedName>
    <definedName name="____cao4">#REF!</definedName>
    <definedName name="____cao5" localSheetId="7">#REF!</definedName>
    <definedName name="____cao5">#REF!</definedName>
    <definedName name="____cao6" localSheetId="7">#REF!</definedName>
    <definedName name="____cao6">#REF!</definedName>
    <definedName name="____cep1" localSheetId="2" hidden="1">{"'Sheet1'!$L$16"}</definedName>
    <definedName name="____cep1" localSheetId="5" hidden="1">{"'Sheet1'!$L$16"}</definedName>
    <definedName name="____cep1" hidden="1">{"'Sheet1'!$L$16"}</definedName>
    <definedName name="____coc250" localSheetId="7">#REF!</definedName>
    <definedName name="____coc250">#REF!</definedName>
    <definedName name="____coc300" localSheetId="7">#REF!</definedName>
    <definedName name="____coc300">#REF!</definedName>
    <definedName name="____coc350" localSheetId="7">#REF!</definedName>
    <definedName name="____coc350">#REF!</definedName>
    <definedName name="____Coc39" localSheetId="2" hidden="1">{"'Sheet1'!$L$16"}</definedName>
    <definedName name="____Coc39" localSheetId="5" hidden="1">{"'Sheet1'!$L$16"}</definedName>
    <definedName name="____Coc39" hidden="1">{"'Sheet1'!$L$16"}</definedName>
    <definedName name="____CON1" localSheetId="7">#REF!</definedName>
    <definedName name="____CON1">#REF!</definedName>
    <definedName name="____CON2" localSheetId="7">#REF!</definedName>
    <definedName name="____CON2">#REF!</definedName>
    <definedName name="____cot4" localSheetId="7">#REF!</definedName>
    <definedName name="____cot4">#REF!</definedName>
    <definedName name="____cpd1" localSheetId="7">#REF!</definedName>
    <definedName name="____cpd1">#REF!</definedName>
    <definedName name="____cpd2" localSheetId="7">#REF!</definedName>
    <definedName name="____cpd2">#REF!</definedName>
    <definedName name="____dai1" localSheetId="7">#REF!</definedName>
    <definedName name="____dai1">#REF!</definedName>
    <definedName name="____dai2" localSheetId="7">#REF!</definedName>
    <definedName name="____dai2">#REF!</definedName>
    <definedName name="____dai3" localSheetId="7">#REF!</definedName>
    <definedName name="____dai3">#REF!</definedName>
    <definedName name="____dai4" localSheetId="7">#REF!</definedName>
    <definedName name="____dai4">#REF!</definedName>
    <definedName name="____dai5" localSheetId="7">#REF!</definedName>
    <definedName name="____dai5">#REF!</definedName>
    <definedName name="____dai6" localSheetId="7">#REF!</definedName>
    <definedName name="____dai6">#REF!</definedName>
    <definedName name="____dan1" localSheetId="7">#REF!</definedName>
    <definedName name="____dan1">#REF!</definedName>
    <definedName name="____dan2" localSheetId="7">#REF!</definedName>
    <definedName name="____dan2">#REF!</definedName>
    <definedName name="____DAO3" localSheetId="7">#REF!</definedName>
    <definedName name="____DAO3">#REF!</definedName>
    <definedName name="____DAP3" localSheetId="7">#REF!</definedName>
    <definedName name="____DAP3">#REF!</definedName>
    <definedName name="____ddn400" localSheetId="7">#REF!</definedName>
    <definedName name="____ddn400">#REF!</definedName>
    <definedName name="____ddn600" localSheetId="7">#REF!</definedName>
    <definedName name="____ddn600">#REF!</definedName>
    <definedName name="____deo1" localSheetId="7">#REF!</definedName>
    <definedName name="____deo1">#REF!</definedName>
    <definedName name="____deo10" localSheetId="7">#REF!</definedName>
    <definedName name="____deo10">#REF!</definedName>
    <definedName name="____deo2" localSheetId="7">#REF!</definedName>
    <definedName name="____deo2">#REF!</definedName>
    <definedName name="____deo3" localSheetId="7">#REF!</definedName>
    <definedName name="____deo3">#REF!</definedName>
    <definedName name="____deo4" localSheetId="7">#REF!</definedName>
    <definedName name="____deo4">#REF!</definedName>
    <definedName name="____deo5" localSheetId="7">#REF!</definedName>
    <definedName name="____deo5">#REF!</definedName>
    <definedName name="____deo6" localSheetId="7">#REF!</definedName>
    <definedName name="____deo6">#REF!</definedName>
    <definedName name="____deo7" localSheetId="7">#REF!</definedName>
    <definedName name="____deo7">#REF!</definedName>
    <definedName name="____deo8" localSheetId="7">#REF!</definedName>
    <definedName name="____deo8">#REF!</definedName>
    <definedName name="____deo9" localSheetId="7">#REF!</definedName>
    <definedName name="____deo9">#REF!</definedName>
    <definedName name="____E99999" localSheetId="7">#REF!</definedName>
    <definedName name="____E99999">#REF!</definedName>
    <definedName name="____f409408" localSheetId="7">#REF!</definedName>
    <definedName name="____f409408">#REF!</definedName>
    <definedName name="____Goi8" localSheetId="2" hidden="1">{"'Sheet1'!$L$16"}</definedName>
    <definedName name="____Goi8" localSheetId="5" hidden="1">{"'Sheet1'!$L$16"}</definedName>
    <definedName name="____Goi8" hidden="1">{"'Sheet1'!$L$16"}</definedName>
    <definedName name="____gon4" localSheetId="7">#REF!</definedName>
    <definedName name="____gon4">#REF!</definedName>
    <definedName name="____hsm2">1.1289</definedName>
    <definedName name="____HUY1" localSheetId="2" hidden="1">{"'Sheet1'!$L$16"}</definedName>
    <definedName name="____HUY1" localSheetId="5" hidden="1">{"'Sheet1'!$L$16"}</definedName>
    <definedName name="____HUY1" hidden="1">{"'Sheet1'!$L$16"}</definedName>
    <definedName name="____HUY2" localSheetId="2" hidden="1">{"'Sheet1'!$L$16"}</definedName>
    <definedName name="____HUY2" localSheetId="5" hidden="1">{"'Sheet1'!$L$16"}</definedName>
    <definedName name="____HUY2" hidden="1">{"'Sheet1'!$L$16"}</definedName>
    <definedName name="____isc1">0.035</definedName>
    <definedName name="____isc2">0.02</definedName>
    <definedName name="____isc3">0.054</definedName>
    <definedName name="____Kks1" localSheetId="7">#REF!</definedName>
    <definedName name="____Kks1">#REF!</definedName>
    <definedName name="____Kks2" localSheetId="7">#REF!</definedName>
    <definedName name="____Kks2">#REF!</definedName>
    <definedName name="____KM188" localSheetId="7">#REF!</definedName>
    <definedName name="____KM188">#REF!</definedName>
    <definedName name="____km189" localSheetId="7">#REF!</definedName>
    <definedName name="____km189">#REF!</definedName>
    <definedName name="____km190" localSheetId="7">#REF!</definedName>
    <definedName name="____km190">#REF!</definedName>
    <definedName name="____km191" localSheetId="7">#REF!</definedName>
    <definedName name="____km191">#REF!</definedName>
    <definedName name="____km192" localSheetId="7">#REF!</definedName>
    <definedName name="____km192">#REF!</definedName>
    <definedName name="____km193" localSheetId="7">#REF!</definedName>
    <definedName name="____km193">#REF!</definedName>
    <definedName name="____km194" localSheetId="7">#REF!</definedName>
    <definedName name="____km194">#REF!</definedName>
    <definedName name="____km195" localSheetId="7">#REF!</definedName>
    <definedName name="____km195">#REF!</definedName>
    <definedName name="____km196" localSheetId="7">#REF!</definedName>
    <definedName name="____km196">#REF!</definedName>
    <definedName name="____km197" localSheetId="7">#REF!</definedName>
    <definedName name="____km197">#REF!</definedName>
    <definedName name="____km198" localSheetId="7">#REF!</definedName>
    <definedName name="____km198">#REF!</definedName>
    <definedName name="____Lan1" localSheetId="2" hidden="1">{"'Sheet1'!$L$16"}</definedName>
    <definedName name="____Lan1" localSheetId="5" hidden="1">{"'Sheet1'!$L$16"}</definedName>
    <definedName name="____Lan1" hidden="1">{"'Sheet1'!$L$16"}</definedName>
    <definedName name="____LAN3" localSheetId="2" hidden="1">{"'Sheet1'!$L$16"}</definedName>
    <definedName name="____LAN3" localSheetId="5" hidden="1">{"'Sheet1'!$L$16"}</definedName>
    <definedName name="____LAN3" hidden="1">{"'Sheet1'!$L$16"}</definedName>
    <definedName name="____lap1" localSheetId="7">#REF!</definedName>
    <definedName name="____lap1">#REF!</definedName>
    <definedName name="____lap2" localSheetId="7">#REF!</definedName>
    <definedName name="____lap2">#REF!</definedName>
    <definedName name="____lk2" localSheetId="2" hidden="1">{"'Sheet1'!$L$16"}</definedName>
    <definedName name="____lk2" localSheetId="5" hidden="1">{"'Sheet1'!$L$16"}</definedName>
    <definedName name="____lk2" hidden="1">{"'Sheet1'!$L$16"}</definedName>
    <definedName name="____MAC12" localSheetId="7">#REF!</definedName>
    <definedName name="____MAC12">#REF!</definedName>
    <definedName name="____MAC46" localSheetId="7">#REF!</definedName>
    <definedName name="____MAC46">#REF!</definedName>
    <definedName name="____MN124" localSheetId="7">#REF!</definedName>
    <definedName name="____MN124">#REF!</definedName>
    <definedName name="____nc151" localSheetId="7">#REF!</definedName>
    <definedName name="____nc151">#REF!</definedName>
    <definedName name="____NCL100" localSheetId="7">#REF!</definedName>
    <definedName name="____NCL100">#REF!</definedName>
    <definedName name="____NCL200" localSheetId="7">#REF!</definedName>
    <definedName name="____NCL200">#REF!</definedName>
    <definedName name="____NCL250" localSheetId="7">#REF!</definedName>
    <definedName name="____NCL250">#REF!</definedName>
    <definedName name="____NET2" localSheetId="7">#REF!</definedName>
    <definedName name="____NET2">#REF!</definedName>
    <definedName name="____nin190" localSheetId="7">#REF!</definedName>
    <definedName name="____nin190">#REF!</definedName>
    <definedName name="____NSO2" localSheetId="2" hidden="1">{"'Sheet1'!$L$16"}</definedName>
    <definedName name="____NSO2" localSheetId="5" hidden="1">{"'Sheet1'!$L$16"}</definedName>
    <definedName name="____NSO2" hidden="1">{"'Sheet1'!$L$16"}</definedName>
    <definedName name="____PA3" localSheetId="2" hidden="1">{"'Sheet1'!$L$16"}</definedName>
    <definedName name="____PA3" localSheetId="5" hidden="1">{"'Sheet1'!$L$16"}</definedName>
    <definedName name="____PA3" hidden="1">{"'Sheet1'!$L$16"}</definedName>
    <definedName name="____Pl2" localSheetId="2" hidden="1">{"'Sheet1'!$L$16"}</definedName>
    <definedName name="____Pl2" localSheetId="5" hidden="1">{"'Sheet1'!$L$16"}</definedName>
    <definedName name="____Pl2" hidden="1">{"'Sheet1'!$L$16"}</definedName>
    <definedName name="____phi10" localSheetId="7">#REF!</definedName>
    <definedName name="____phi10">#REF!</definedName>
    <definedName name="____phi12" localSheetId="7">#REF!</definedName>
    <definedName name="____phi12">#REF!</definedName>
    <definedName name="____phi14" localSheetId="7">#REF!</definedName>
    <definedName name="____phi14">#REF!</definedName>
    <definedName name="____phi16" localSheetId="7">#REF!</definedName>
    <definedName name="____phi16">#REF!</definedName>
    <definedName name="____phi18" localSheetId="7">#REF!</definedName>
    <definedName name="____phi18">#REF!</definedName>
    <definedName name="____phi20" localSheetId="7">#REF!</definedName>
    <definedName name="____phi20">#REF!</definedName>
    <definedName name="____phi22" localSheetId="7">#REF!</definedName>
    <definedName name="____phi22">#REF!</definedName>
    <definedName name="____phi25" localSheetId="7">#REF!</definedName>
    <definedName name="____phi25">#REF!</definedName>
    <definedName name="____phi28" localSheetId="7">#REF!</definedName>
    <definedName name="____phi28">#REF!</definedName>
    <definedName name="____phi6" localSheetId="7">#REF!</definedName>
    <definedName name="____phi6">#REF!</definedName>
    <definedName name="____phi8" localSheetId="7">#REF!</definedName>
    <definedName name="____phi8">#REF!</definedName>
    <definedName name="____Sat27" localSheetId="7">#REF!</definedName>
    <definedName name="____Sat27">#REF!</definedName>
    <definedName name="____sc1" localSheetId="7">#REF!</definedName>
    <definedName name="____sc1">#REF!</definedName>
    <definedName name="____SC2" localSheetId="7">#REF!</definedName>
    <definedName name="____SC2">#REF!</definedName>
    <definedName name="____sc3" localSheetId="7">#REF!</definedName>
    <definedName name="____sc3">#REF!</definedName>
    <definedName name="____slg1" localSheetId="7">#REF!</definedName>
    <definedName name="____slg1">#REF!</definedName>
    <definedName name="____slg2" localSheetId="7">#REF!</definedName>
    <definedName name="____slg2">#REF!</definedName>
    <definedName name="____slg3" localSheetId="7">#REF!</definedName>
    <definedName name="____slg3">#REF!</definedName>
    <definedName name="____slg4" localSheetId="7">#REF!</definedName>
    <definedName name="____slg4">#REF!</definedName>
    <definedName name="____slg5" localSheetId="7">#REF!</definedName>
    <definedName name="____slg5">#REF!</definedName>
    <definedName name="____slg6" localSheetId="7">#REF!</definedName>
    <definedName name="____slg6">#REF!</definedName>
    <definedName name="____SN3" localSheetId="7">#REF!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STD0898" localSheetId="7">#REF!</definedName>
    <definedName name="____STD0898">#REF!</definedName>
    <definedName name="____TB1" localSheetId="7">#REF!</definedName>
    <definedName name="____TB1">#REF!</definedName>
    <definedName name="____tb2" localSheetId="7">BlankMacro1</definedName>
    <definedName name="____tb2">BlankMacro1</definedName>
    <definedName name="____TCO2" localSheetId="7">#REF!</definedName>
    <definedName name="____TCO2">#REF!</definedName>
    <definedName name="____TCO3" localSheetId="7">#REF!</definedName>
    <definedName name="____TCO3">#REF!</definedName>
    <definedName name="____tg1" localSheetId="7">#REF!</definedName>
    <definedName name="____tg1">#REF!</definedName>
    <definedName name="____tg427" localSheetId="7">#REF!</definedName>
    <definedName name="____tg427">#REF!</definedName>
    <definedName name="____TK622" localSheetId="7">#REF!</definedName>
    <definedName name="____TK622">#REF!</definedName>
    <definedName name="____TL1" localSheetId="7">#REF!</definedName>
    <definedName name="____TL1">#REF!</definedName>
    <definedName name="____TL2" localSheetId="7">#REF!</definedName>
    <definedName name="____TL2">#REF!</definedName>
    <definedName name="____TL3" localSheetId="7">#REF!</definedName>
    <definedName name="____TL3">#REF!</definedName>
    <definedName name="____TLA120" localSheetId="7">#REF!</definedName>
    <definedName name="____TLA120">#REF!</definedName>
    <definedName name="____TLA35" localSheetId="7">#REF!</definedName>
    <definedName name="____TLA35">#REF!</definedName>
    <definedName name="____TLA50" localSheetId="7">#REF!</definedName>
    <definedName name="____TLA50">#REF!</definedName>
    <definedName name="____TLA70" localSheetId="7">#REF!</definedName>
    <definedName name="____TLA70">#REF!</definedName>
    <definedName name="____TLA95" localSheetId="7">#REF!</definedName>
    <definedName name="____TLA95">#REF!</definedName>
    <definedName name="____tt3" localSheetId="2" hidden="1">{"'Sheet1'!$L$16"}</definedName>
    <definedName name="____tt3" localSheetId="5" hidden="1">{"'Sheet1'!$L$16"}</definedName>
    <definedName name="____tt3" hidden="1">{"'Sheet1'!$L$16"}</definedName>
    <definedName name="____TT31" localSheetId="2" hidden="1">{"'Sheet1'!$L$16"}</definedName>
    <definedName name="____TT31" localSheetId="5" hidden="1">{"'Sheet1'!$L$16"}</definedName>
    <definedName name="____TT31" hidden="1">{"'Sheet1'!$L$16"}</definedName>
    <definedName name="____tz593" localSheetId="7">#REF!</definedName>
    <definedName name="____tz593">#REF!</definedName>
    <definedName name="____TH20" localSheetId="7">#REF!</definedName>
    <definedName name="____TH20">#REF!</definedName>
    <definedName name="____Tru21" localSheetId="2" hidden="1">{"'Sheet1'!$L$16"}</definedName>
    <definedName name="____Tru21" localSheetId="5" hidden="1">{"'Sheet1'!$L$16"}</definedName>
    <definedName name="____Tru21" hidden="1">{"'Sheet1'!$L$16"}</definedName>
    <definedName name="____VL100" localSheetId="7">#REF!</definedName>
    <definedName name="____VL100">#REF!</definedName>
    <definedName name="____VL200" localSheetId="7">#REF!</definedName>
    <definedName name="____VL200">#REF!</definedName>
    <definedName name="____VL250" localSheetId="7">#REF!</definedName>
    <definedName name="____VL250">#REF!</definedName>
    <definedName name="____VM2" localSheetId="2" hidden="1">{"'Sheet1'!$L$16"}</definedName>
    <definedName name="____VM2" localSheetId="5" hidden="1">{"'Sheet1'!$L$16"}</definedName>
    <definedName name="____VM2" hidden="1">{"'Sheet1'!$L$16"}</definedName>
    <definedName name="___atn1" localSheetId="7">#REF!</definedName>
    <definedName name="___atn1">#REF!</definedName>
    <definedName name="___atn10" localSheetId="7">#REF!</definedName>
    <definedName name="___atn10">#REF!</definedName>
    <definedName name="___atn2" localSheetId="7">#REF!</definedName>
    <definedName name="___atn2">#REF!</definedName>
    <definedName name="___atn3" localSheetId="7">#REF!</definedName>
    <definedName name="___atn3">#REF!</definedName>
    <definedName name="___atn4" localSheetId="7">#REF!</definedName>
    <definedName name="___atn4">#REF!</definedName>
    <definedName name="___atn5" localSheetId="7">#REF!</definedName>
    <definedName name="___atn5">#REF!</definedName>
    <definedName name="___atn6" localSheetId="7">#REF!</definedName>
    <definedName name="___atn6">#REF!</definedName>
    <definedName name="___atn7" localSheetId="7">#REF!</definedName>
    <definedName name="___atn7">#REF!</definedName>
    <definedName name="___atn8" localSheetId="7">#REF!</definedName>
    <definedName name="___atn8">#REF!</definedName>
    <definedName name="___atn9" localSheetId="7">#REF!</definedName>
    <definedName name="___atn9">#REF!</definedName>
    <definedName name="___ban2" localSheetId="2" hidden="1">{"'Sheet1'!$L$16"}</definedName>
    <definedName name="___ban2" localSheetId="5" hidden="1">{"'Sheet1'!$L$16"}</definedName>
    <definedName name="___ban2" hidden="1">{"'Sheet1'!$L$16"}</definedName>
    <definedName name="___boi1" localSheetId="7">#REF!</definedName>
    <definedName name="___boi1">#REF!</definedName>
    <definedName name="___boi2" localSheetId="7">#REF!</definedName>
    <definedName name="___boi2">#REF!</definedName>
    <definedName name="___BTM150" localSheetId="7">#REF!</definedName>
    <definedName name="___BTM150">#REF!</definedName>
    <definedName name="___BTM200" localSheetId="7">#REF!</definedName>
    <definedName name="___BTM200">#REF!</definedName>
    <definedName name="___BTM250" localSheetId="7">#REF!</definedName>
    <definedName name="___BTM250">#REF!</definedName>
    <definedName name="___BTM300" localSheetId="7">#REF!</definedName>
    <definedName name="___BTM300">#REF!</definedName>
    <definedName name="___cao1" localSheetId="7">#REF!</definedName>
    <definedName name="___cao1">#REF!</definedName>
    <definedName name="___cao2" localSheetId="7">#REF!</definedName>
    <definedName name="___cao2">#REF!</definedName>
    <definedName name="___cao3" localSheetId="7">#REF!</definedName>
    <definedName name="___cao3">#REF!</definedName>
    <definedName name="___cao4" localSheetId="7">#REF!</definedName>
    <definedName name="___cao4">#REF!</definedName>
    <definedName name="___cao5" localSheetId="7">#REF!</definedName>
    <definedName name="___cao5">#REF!</definedName>
    <definedName name="___cao6" localSheetId="7">#REF!</definedName>
    <definedName name="___cao6">#REF!</definedName>
    <definedName name="___cep1" localSheetId="2" hidden="1">{"'Sheet1'!$L$16"}</definedName>
    <definedName name="___cep1" localSheetId="5" hidden="1">{"'Sheet1'!$L$16"}</definedName>
    <definedName name="___cep1" hidden="1">{"'Sheet1'!$L$16"}</definedName>
    <definedName name="___coc250" localSheetId="7">#REF!</definedName>
    <definedName name="___coc250">#REF!</definedName>
    <definedName name="___coc300" localSheetId="7">#REF!</definedName>
    <definedName name="___coc300">#REF!</definedName>
    <definedName name="___coc350" localSheetId="7">#REF!</definedName>
    <definedName name="___coc350">#REF!</definedName>
    <definedName name="___Coc39" localSheetId="2" hidden="1">{"'Sheet1'!$L$16"}</definedName>
    <definedName name="___Coc39" localSheetId="5" hidden="1">{"'Sheet1'!$L$16"}</definedName>
    <definedName name="___Coc39" hidden="1">{"'Sheet1'!$L$16"}</definedName>
    <definedName name="___CON1" localSheetId="7">#REF!</definedName>
    <definedName name="___CON1">#REF!</definedName>
    <definedName name="___CON2" localSheetId="7">#REF!</definedName>
    <definedName name="___CON2">#REF!</definedName>
    <definedName name="___cot4" localSheetId="7">#REF!</definedName>
    <definedName name="___cot4">#REF!</definedName>
    <definedName name="___cpd1" localSheetId="7">#REF!</definedName>
    <definedName name="___cpd1">#REF!</definedName>
    <definedName name="___cpd2" localSheetId="7">#REF!</definedName>
    <definedName name="___cpd2">#REF!</definedName>
    <definedName name="___dai1" localSheetId="7">#REF!</definedName>
    <definedName name="___dai1">#REF!</definedName>
    <definedName name="___dai2" localSheetId="7">#REF!</definedName>
    <definedName name="___dai2">#REF!</definedName>
    <definedName name="___dai3" localSheetId="7">#REF!</definedName>
    <definedName name="___dai3">#REF!</definedName>
    <definedName name="___dai4" localSheetId="7">#REF!</definedName>
    <definedName name="___dai4">#REF!</definedName>
    <definedName name="___dai5" localSheetId="7">#REF!</definedName>
    <definedName name="___dai5">#REF!</definedName>
    <definedName name="___dai6" localSheetId="7">#REF!</definedName>
    <definedName name="___dai6">#REF!</definedName>
    <definedName name="___dan1" localSheetId="7">#REF!</definedName>
    <definedName name="___dan1">#REF!</definedName>
    <definedName name="___dan2" localSheetId="7">#REF!</definedName>
    <definedName name="___dan2">#REF!</definedName>
    <definedName name="___DAO3" localSheetId="7">#REF!</definedName>
    <definedName name="___DAO3">#REF!</definedName>
    <definedName name="___DAP3" localSheetId="7">#REF!</definedName>
    <definedName name="___DAP3">#REF!</definedName>
    <definedName name="___ddn400" localSheetId="7">#REF!</definedName>
    <definedName name="___ddn400">#REF!</definedName>
    <definedName name="___ddn600" localSheetId="7">#REF!</definedName>
    <definedName name="___ddn600">#REF!</definedName>
    <definedName name="___deo1" localSheetId="7">#REF!</definedName>
    <definedName name="___deo1">#REF!</definedName>
    <definedName name="___deo10" localSheetId="7">#REF!</definedName>
    <definedName name="___deo10">#REF!</definedName>
    <definedName name="___deo2" localSheetId="7">#REF!</definedName>
    <definedName name="___deo2">#REF!</definedName>
    <definedName name="___deo3" localSheetId="7">#REF!</definedName>
    <definedName name="___deo3">#REF!</definedName>
    <definedName name="___deo4" localSheetId="7">#REF!</definedName>
    <definedName name="___deo4">#REF!</definedName>
    <definedName name="___deo5" localSheetId="7">#REF!</definedName>
    <definedName name="___deo5">#REF!</definedName>
    <definedName name="___deo6" localSheetId="7">#REF!</definedName>
    <definedName name="___deo6">#REF!</definedName>
    <definedName name="___deo7" localSheetId="7">#REF!</definedName>
    <definedName name="___deo7">#REF!</definedName>
    <definedName name="___deo8" localSheetId="7">#REF!</definedName>
    <definedName name="___deo8">#REF!</definedName>
    <definedName name="___deo9" localSheetId="7">#REF!</definedName>
    <definedName name="___deo9">#REF!</definedName>
    <definedName name="___E99999" localSheetId="7">#REF!</definedName>
    <definedName name="___E99999">#REF!</definedName>
    <definedName name="___f409408" localSheetId="7">#REF!</definedName>
    <definedName name="___f409408">#REF!</definedName>
    <definedName name="___Goi8" localSheetId="2" hidden="1">{"'Sheet1'!$L$16"}</definedName>
    <definedName name="___Goi8" localSheetId="5" hidden="1">{"'Sheet1'!$L$16"}</definedName>
    <definedName name="___Goi8" hidden="1">{"'Sheet1'!$L$16"}</definedName>
    <definedName name="___gon4" localSheetId="7">#REF!</definedName>
    <definedName name="___gon4">#REF!</definedName>
    <definedName name="___hsm2">1.1289</definedName>
    <definedName name="___HUY1" localSheetId="2" hidden="1">{"'Sheet1'!$L$16"}</definedName>
    <definedName name="___HUY1" localSheetId="5" hidden="1">{"'Sheet1'!$L$16"}</definedName>
    <definedName name="___HUY1" hidden="1">{"'Sheet1'!$L$16"}</definedName>
    <definedName name="___HUY2" localSheetId="2" hidden="1">{"'Sheet1'!$L$16"}</definedName>
    <definedName name="___HUY2" localSheetId="5" hidden="1">{"'Sheet1'!$L$16"}</definedName>
    <definedName name="___HUY2" hidden="1">{"'Sheet1'!$L$16"}</definedName>
    <definedName name="___isc1">0.035</definedName>
    <definedName name="___isc2">0.02</definedName>
    <definedName name="___isc3">0.054</definedName>
    <definedName name="___Kks1" localSheetId="7">#REF!</definedName>
    <definedName name="___Kks1">#REF!</definedName>
    <definedName name="___Kks2" localSheetId="7">#REF!</definedName>
    <definedName name="___Kks2">#REF!</definedName>
    <definedName name="___KM188" localSheetId="7">#REF!</definedName>
    <definedName name="___KM188">#REF!</definedName>
    <definedName name="___km189" localSheetId="7">#REF!</definedName>
    <definedName name="___km189">#REF!</definedName>
    <definedName name="___km190" localSheetId="7">#REF!</definedName>
    <definedName name="___km190">#REF!</definedName>
    <definedName name="___km191" localSheetId="7">#REF!</definedName>
    <definedName name="___km191">#REF!</definedName>
    <definedName name="___km192" localSheetId="7">#REF!</definedName>
    <definedName name="___km192">#REF!</definedName>
    <definedName name="___km193" localSheetId="7">#REF!</definedName>
    <definedName name="___km193">#REF!</definedName>
    <definedName name="___km194" localSheetId="7">#REF!</definedName>
    <definedName name="___km194">#REF!</definedName>
    <definedName name="___km195" localSheetId="7">#REF!</definedName>
    <definedName name="___km195">#REF!</definedName>
    <definedName name="___km196" localSheetId="7">#REF!</definedName>
    <definedName name="___km196">#REF!</definedName>
    <definedName name="___km197" localSheetId="7">#REF!</definedName>
    <definedName name="___km197">#REF!</definedName>
    <definedName name="___km198" localSheetId="7">#REF!</definedName>
    <definedName name="___km198">#REF!</definedName>
    <definedName name="___Lan1" localSheetId="2" hidden="1">{"'Sheet1'!$L$16"}</definedName>
    <definedName name="___Lan1" localSheetId="5" hidden="1">{"'Sheet1'!$L$16"}</definedName>
    <definedName name="___Lan1" hidden="1">{"'Sheet1'!$L$16"}</definedName>
    <definedName name="___LAN3" localSheetId="2" hidden="1">{"'Sheet1'!$L$16"}</definedName>
    <definedName name="___LAN3" localSheetId="5" hidden="1">{"'Sheet1'!$L$16"}</definedName>
    <definedName name="___LAN3" hidden="1">{"'Sheet1'!$L$16"}</definedName>
    <definedName name="___lap1" localSheetId="7">#REF!</definedName>
    <definedName name="___lap1">#REF!</definedName>
    <definedName name="___lap2" localSheetId="7">#REF!</definedName>
    <definedName name="___lap2">#REF!</definedName>
    <definedName name="___lk2" localSheetId="2" hidden="1">{"'Sheet1'!$L$16"}</definedName>
    <definedName name="___lk2" localSheetId="5" hidden="1">{"'Sheet1'!$L$16"}</definedName>
    <definedName name="___lk2" hidden="1">{"'Sheet1'!$L$16"}</definedName>
    <definedName name="___MAC12" localSheetId="7">#REF!</definedName>
    <definedName name="___MAC12">#REF!</definedName>
    <definedName name="___MAC46" localSheetId="7">#REF!</definedName>
    <definedName name="___MAC46">#REF!</definedName>
    <definedName name="___MN124" localSheetId="7">#REF!</definedName>
    <definedName name="___MN124">#REF!</definedName>
    <definedName name="___nc151" localSheetId="7">#REF!</definedName>
    <definedName name="___nc151">#REF!</definedName>
    <definedName name="___NCL100" localSheetId="7">#REF!</definedName>
    <definedName name="___NCL100">#REF!</definedName>
    <definedName name="___NCL200" localSheetId="7">#REF!</definedName>
    <definedName name="___NCL200">#REF!</definedName>
    <definedName name="___NCL250" localSheetId="7">#REF!</definedName>
    <definedName name="___NCL250">#REF!</definedName>
    <definedName name="___NET2" localSheetId="7">#REF!</definedName>
    <definedName name="___NET2">#REF!</definedName>
    <definedName name="___nin190" localSheetId="7">#REF!</definedName>
    <definedName name="___nin190">#REF!</definedName>
    <definedName name="___NSO2" localSheetId="2" hidden="1">{"'Sheet1'!$L$16"}</definedName>
    <definedName name="___NSO2" localSheetId="5" hidden="1">{"'Sheet1'!$L$16"}</definedName>
    <definedName name="___NSO2" hidden="1">{"'Sheet1'!$L$16"}</definedName>
    <definedName name="___PA3" localSheetId="2" hidden="1">{"'Sheet1'!$L$16"}</definedName>
    <definedName name="___PA3" localSheetId="5" hidden="1">{"'Sheet1'!$L$16"}</definedName>
    <definedName name="___PA3" hidden="1">{"'Sheet1'!$L$16"}</definedName>
    <definedName name="___Pl2" localSheetId="2" hidden="1">{"'Sheet1'!$L$16"}</definedName>
    <definedName name="___Pl2" localSheetId="5" hidden="1">{"'Sheet1'!$L$16"}</definedName>
    <definedName name="___Pl2" hidden="1">{"'Sheet1'!$L$16"}</definedName>
    <definedName name="___phi10" localSheetId="7">#REF!</definedName>
    <definedName name="___phi10">#REF!</definedName>
    <definedName name="___phi12" localSheetId="7">#REF!</definedName>
    <definedName name="___phi12">#REF!</definedName>
    <definedName name="___phi14" localSheetId="7">#REF!</definedName>
    <definedName name="___phi14">#REF!</definedName>
    <definedName name="___phi16" localSheetId="7">#REF!</definedName>
    <definedName name="___phi16">#REF!</definedName>
    <definedName name="___phi18" localSheetId="7">#REF!</definedName>
    <definedName name="___phi18">#REF!</definedName>
    <definedName name="___phi20" localSheetId="7">#REF!</definedName>
    <definedName name="___phi20">#REF!</definedName>
    <definedName name="___phi22" localSheetId="7">#REF!</definedName>
    <definedName name="___phi22">#REF!</definedName>
    <definedName name="___phi25" localSheetId="7">#REF!</definedName>
    <definedName name="___phi25">#REF!</definedName>
    <definedName name="___phi28" localSheetId="7">#REF!</definedName>
    <definedName name="___phi28">#REF!</definedName>
    <definedName name="___phi6" localSheetId="7">#REF!</definedName>
    <definedName name="___phi6">#REF!</definedName>
    <definedName name="___phi8" localSheetId="7">#REF!</definedName>
    <definedName name="___phi8">#REF!</definedName>
    <definedName name="___Sat27" localSheetId="7">#REF!</definedName>
    <definedName name="___Sat27">#REF!</definedName>
    <definedName name="___sc1" localSheetId="7">#REF!</definedName>
    <definedName name="___sc1">#REF!</definedName>
    <definedName name="___SC2" localSheetId="7">#REF!</definedName>
    <definedName name="___SC2">#REF!</definedName>
    <definedName name="___sc3" localSheetId="7">#REF!</definedName>
    <definedName name="___sc3">#REF!</definedName>
    <definedName name="___slg1" localSheetId="7">#REF!</definedName>
    <definedName name="___slg1">#REF!</definedName>
    <definedName name="___slg2" localSheetId="7">#REF!</definedName>
    <definedName name="___slg2">#REF!</definedName>
    <definedName name="___slg3" localSheetId="7">#REF!</definedName>
    <definedName name="___slg3">#REF!</definedName>
    <definedName name="___slg4" localSheetId="7">#REF!</definedName>
    <definedName name="___slg4">#REF!</definedName>
    <definedName name="___slg5" localSheetId="7">#REF!</definedName>
    <definedName name="___slg5">#REF!</definedName>
    <definedName name="___slg6" localSheetId="7">#REF!</definedName>
    <definedName name="___slg6">#REF!</definedName>
    <definedName name="___SN3" localSheetId="7">#REF!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STD0898" localSheetId="7">#REF!</definedName>
    <definedName name="___STD0898">#REF!</definedName>
    <definedName name="___TB1" localSheetId="7">#REF!</definedName>
    <definedName name="___TB1">#REF!</definedName>
    <definedName name="___tb2" localSheetId="7">BlankMacro1</definedName>
    <definedName name="___tb2">BlankMacro1</definedName>
    <definedName name="___TCO2" localSheetId="7">#REF!</definedName>
    <definedName name="___TCO2">#REF!</definedName>
    <definedName name="___TCO3" localSheetId="7">#REF!</definedName>
    <definedName name="___TCO3">#REF!</definedName>
    <definedName name="___tg1" localSheetId="7">#REF!</definedName>
    <definedName name="___tg1">#REF!</definedName>
    <definedName name="___tg427" localSheetId="7">#REF!</definedName>
    <definedName name="___tg427">#REF!</definedName>
    <definedName name="___TK622" localSheetId="7">#REF!</definedName>
    <definedName name="___TK622">#REF!</definedName>
    <definedName name="___TL1" localSheetId="7">#REF!</definedName>
    <definedName name="___TL1">#REF!</definedName>
    <definedName name="___TL2" localSheetId="7">#REF!</definedName>
    <definedName name="___TL2">#REF!</definedName>
    <definedName name="___TL3" localSheetId="7">#REF!</definedName>
    <definedName name="___TL3">#REF!</definedName>
    <definedName name="___TLA120" localSheetId="7">#REF!</definedName>
    <definedName name="___TLA120">#REF!</definedName>
    <definedName name="___TLA35" localSheetId="7">#REF!</definedName>
    <definedName name="___TLA35">#REF!</definedName>
    <definedName name="___TLA50" localSheetId="7">#REF!</definedName>
    <definedName name="___TLA50">#REF!</definedName>
    <definedName name="___TLA70" localSheetId="7">#REF!</definedName>
    <definedName name="___TLA70">#REF!</definedName>
    <definedName name="___TLA95" localSheetId="7">#REF!</definedName>
    <definedName name="___TLA95">#REF!</definedName>
    <definedName name="___tt3" localSheetId="2" hidden="1">{"'Sheet1'!$L$16"}</definedName>
    <definedName name="___tt3" localSheetId="5" hidden="1">{"'Sheet1'!$L$16"}</definedName>
    <definedName name="___tt3" hidden="1">{"'Sheet1'!$L$16"}</definedName>
    <definedName name="___TT31" localSheetId="2" hidden="1">{"'Sheet1'!$L$16"}</definedName>
    <definedName name="___TT31" localSheetId="5" hidden="1">{"'Sheet1'!$L$16"}</definedName>
    <definedName name="___TT31" hidden="1">{"'Sheet1'!$L$16"}</definedName>
    <definedName name="___tz593" localSheetId="7">#REF!</definedName>
    <definedName name="___tz593">#REF!</definedName>
    <definedName name="___TH20" localSheetId="7">#REF!</definedName>
    <definedName name="___TH20">#REF!</definedName>
    <definedName name="___Tru21" localSheetId="2" hidden="1">{"'Sheet1'!$L$16"}</definedName>
    <definedName name="___Tru21" localSheetId="5" hidden="1">{"'Sheet1'!$L$16"}</definedName>
    <definedName name="___Tru21" hidden="1">{"'Sheet1'!$L$16"}</definedName>
    <definedName name="___VL100" localSheetId="7">#REF!</definedName>
    <definedName name="___VL100">#REF!</definedName>
    <definedName name="___VL200" localSheetId="7">#REF!</definedName>
    <definedName name="___VL200">#REF!</definedName>
    <definedName name="___VL250" localSheetId="7">#REF!</definedName>
    <definedName name="___VL250">#REF!</definedName>
    <definedName name="___VM2" localSheetId="2" hidden="1">{"'Sheet1'!$L$16"}</definedName>
    <definedName name="___VM2" localSheetId="5" hidden="1">{"'Sheet1'!$L$16"}</definedName>
    <definedName name="___VM2" hidden="1">{"'Sheet1'!$L$16"}</definedName>
    <definedName name="__atn1" localSheetId="7">#REF!</definedName>
    <definedName name="__atn1">#REF!</definedName>
    <definedName name="__atn10" localSheetId="7">#REF!</definedName>
    <definedName name="__atn10">#REF!</definedName>
    <definedName name="__atn2" localSheetId="7">#REF!</definedName>
    <definedName name="__atn2">#REF!</definedName>
    <definedName name="__atn3" localSheetId="7">#REF!</definedName>
    <definedName name="__atn3">#REF!</definedName>
    <definedName name="__atn4" localSheetId="7">#REF!</definedName>
    <definedName name="__atn4">#REF!</definedName>
    <definedName name="__atn5" localSheetId="7">#REF!</definedName>
    <definedName name="__atn5">#REF!</definedName>
    <definedName name="__atn6" localSheetId="7">#REF!</definedName>
    <definedName name="__atn6">#REF!</definedName>
    <definedName name="__atn7" localSheetId="7">#REF!</definedName>
    <definedName name="__atn7">#REF!</definedName>
    <definedName name="__atn8" localSheetId="7">#REF!</definedName>
    <definedName name="__atn8">#REF!</definedName>
    <definedName name="__atn9" localSheetId="7">#REF!</definedName>
    <definedName name="__atn9">#REF!</definedName>
    <definedName name="__ban2" localSheetId="2" hidden="1">{"'Sheet1'!$L$16"}</definedName>
    <definedName name="__ban2" localSheetId="5" hidden="1">{"'Sheet1'!$L$16"}</definedName>
    <definedName name="__ban2" hidden="1">{"'Sheet1'!$L$16"}</definedName>
    <definedName name="__boi1" localSheetId="7">#REF!</definedName>
    <definedName name="__boi1">#REF!</definedName>
    <definedName name="__boi2" localSheetId="7">#REF!</definedName>
    <definedName name="__boi2">#REF!</definedName>
    <definedName name="__BTM150" localSheetId="7">#REF!</definedName>
    <definedName name="__BTM150">#REF!</definedName>
    <definedName name="__BTM200" localSheetId="7">#REF!</definedName>
    <definedName name="__BTM200">#REF!</definedName>
    <definedName name="__BTM250" localSheetId="7">#REF!</definedName>
    <definedName name="__BTM250">#REF!</definedName>
    <definedName name="__BTM300" localSheetId="7">#REF!</definedName>
    <definedName name="__BTM300">#REF!</definedName>
    <definedName name="__cao1" localSheetId="7">#REF!</definedName>
    <definedName name="__cao1">#REF!</definedName>
    <definedName name="__cao2" localSheetId="7">#REF!</definedName>
    <definedName name="__cao2">#REF!</definedName>
    <definedName name="__cao3" localSheetId="7">#REF!</definedName>
    <definedName name="__cao3">#REF!</definedName>
    <definedName name="__cao4" localSheetId="7">#REF!</definedName>
    <definedName name="__cao4">#REF!</definedName>
    <definedName name="__cao5" localSheetId="7">#REF!</definedName>
    <definedName name="__cao5">#REF!</definedName>
    <definedName name="__cao6" localSheetId="7">#REF!</definedName>
    <definedName name="__cao6">#REF!</definedName>
    <definedName name="__cep1" localSheetId="2" hidden="1">{"'Sheet1'!$L$16"}</definedName>
    <definedName name="__cep1" localSheetId="5" hidden="1">{"'Sheet1'!$L$16"}</definedName>
    <definedName name="__cep1" hidden="1">{"'Sheet1'!$L$16"}</definedName>
    <definedName name="__coc250" localSheetId="7">#REF!</definedName>
    <definedName name="__coc250">#REF!</definedName>
    <definedName name="__coc300" localSheetId="7">#REF!</definedName>
    <definedName name="__coc300">#REF!</definedName>
    <definedName name="__coc350" localSheetId="7">#REF!</definedName>
    <definedName name="__coc350">#REF!</definedName>
    <definedName name="__Coc39" localSheetId="2" hidden="1">{"'Sheet1'!$L$16"}</definedName>
    <definedName name="__Coc39" localSheetId="5" hidden="1">{"'Sheet1'!$L$16"}</definedName>
    <definedName name="__Coc39" hidden="1">{"'Sheet1'!$L$16"}</definedName>
    <definedName name="__CON1" localSheetId="7">#REF!</definedName>
    <definedName name="__CON1">#REF!</definedName>
    <definedName name="__CON2" localSheetId="7">#REF!</definedName>
    <definedName name="__CON2">#REF!</definedName>
    <definedName name="__cot4" localSheetId="7">#REF!</definedName>
    <definedName name="__cot4">#REF!</definedName>
    <definedName name="__cpd1" localSheetId="7">#REF!</definedName>
    <definedName name="__cpd1">#REF!</definedName>
    <definedName name="__cpd2" localSheetId="7">#REF!</definedName>
    <definedName name="__cpd2">#REF!</definedName>
    <definedName name="__dai1" localSheetId="7">#REF!</definedName>
    <definedName name="__dai1">#REF!</definedName>
    <definedName name="__dai2" localSheetId="7">#REF!</definedName>
    <definedName name="__dai2">#REF!</definedName>
    <definedName name="__dai3" localSheetId="7">#REF!</definedName>
    <definedName name="__dai3">#REF!</definedName>
    <definedName name="__dai4" localSheetId="7">#REF!</definedName>
    <definedName name="__dai4">#REF!</definedName>
    <definedName name="__dai5" localSheetId="7">#REF!</definedName>
    <definedName name="__dai5">#REF!</definedName>
    <definedName name="__dai6" localSheetId="7">#REF!</definedName>
    <definedName name="__dai6">#REF!</definedName>
    <definedName name="__dan1" localSheetId="7">#REF!</definedName>
    <definedName name="__dan1">#REF!</definedName>
    <definedName name="__dan2" localSheetId="7">#REF!</definedName>
    <definedName name="__dan2">#REF!</definedName>
    <definedName name="__DAO3" localSheetId="7">#REF!</definedName>
    <definedName name="__DAO3">#REF!</definedName>
    <definedName name="__DAP3" localSheetId="7">#REF!</definedName>
    <definedName name="__DAP3">#REF!</definedName>
    <definedName name="__ddn400" localSheetId="7">#REF!</definedName>
    <definedName name="__ddn400">#REF!</definedName>
    <definedName name="__ddn600" localSheetId="7">#REF!</definedName>
    <definedName name="__ddn600">#REF!</definedName>
    <definedName name="__deo1" localSheetId="7">#REF!</definedName>
    <definedName name="__deo1">#REF!</definedName>
    <definedName name="__deo10" localSheetId="7">#REF!</definedName>
    <definedName name="__deo10">#REF!</definedName>
    <definedName name="__deo2" localSheetId="7">#REF!</definedName>
    <definedName name="__deo2">#REF!</definedName>
    <definedName name="__deo3" localSheetId="7">#REF!</definedName>
    <definedName name="__deo3">#REF!</definedName>
    <definedName name="__deo4" localSheetId="7">#REF!</definedName>
    <definedName name="__deo4">#REF!</definedName>
    <definedName name="__deo5" localSheetId="7">#REF!</definedName>
    <definedName name="__deo5">#REF!</definedName>
    <definedName name="__deo6" localSheetId="7">#REF!</definedName>
    <definedName name="__deo6">#REF!</definedName>
    <definedName name="__deo7" localSheetId="7">#REF!</definedName>
    <definedName name="__deo7">#REF!</definedName>
    <definedName name="__deo8" localSheetId="7">#REF!</definedName>
    <definedName name="__deo8">#REF!</definedName>
    <definedName name="__deo9" localSheetId="7">#REF!</definedName>
    <definedName name="__deo9">#REF!</definedName>
    <definedName name="__E99999" localSheetId="7">#REF!</definedName>
    <definedName name="__E99999">#REF!</definedName>
    <definedName name="__f409408" localSheetId="7">#REF!</definedName>
    <definedName name="__f409408">#REF!</definedName>
    <definedName name="__Goi8" localSheetId="2" hidden="1">{"'Sheet1'!$L$16"}</definedName>
    <definedName name="__Goi8" localSheetId="5" hidden="1">{"'Sheet1'!$L$16"}</definedName>
    <definedName name="__Goi8" hidden="1">{"'Sheet1'!$L$16"}</definedName>
    <definedName name="__gon4" localSheetId="7">#REF!</definedName>
    <definedName name="__gon4">#REF!</definedName>
    <definedName name="__hsm2">1.1289</definedName>
    <definedName name="__HUY1" localSheetId="2" hidden="1">{"'Sheet1'!$L$16"}</definedName>
    <definedName name="__HUY1" localSheetId="5" hidden="1">{"'Sheet1'!$L$16"}</definedName>
    <definedName name="__HUY1" hidden="1">{"'Sheet1'!$L$16"}</definedName>
    <definedName name="__HUY2" localSheetId="2" hidden="1">{"'Sheet1'!$L$16"}</definedName>
    <definedName name="__HUY2" localSheetId="5" hidden="1">{"'Sheet1'!$L$16"}</definedName>
    <definedName name="__HUY2" hidden="1">{"'Sheet1'!$L$16"}</definedName>
    <definedName name="__isc1">0.035</definedName>
    <definedName name="__isc2">0.02</definedName>
    <definedName name="__isc3">0.054</definedName>
    <definedName name="__Kks1" localSheetId="7">#REF!</definedName>
    <definedName name="__Kks1">#REF!</definedName>
    <definedName name="__Kks2" localSheetId="7">#REF!</definedName>
    <definedName name="__Kks2">#REF!</definedName>
    <definedName name="__KM188" localSheetId="7">#REF!</definedName>
    <definedName name="__KM188">#REF!</definedName>
    <definedName name="__km189" localSheetId="7">#REF!</definedName>
    <definedName name="__km189">#REF!</definedName>
    <definedName name="__km190" localSheetId="7">#REF!</definedName>
    <definedName name="__km190">#REF!</definedName>
    <definedName name="__km191" localSheetId="7">#REF!</definedName>
    <definedName name="__km191">#REF!</definedName>
    <definedName name="__km192" localSheetId="7">#REF!</definedName>
    <definedName name="__km192">#REF!</definedName>
    <definedName name="__km193" localSheetId="7">#REF!</definedName>
    <definedName name="__km193">#REF!</definedName>
    <definedName name="__km194" localSheetId="7">#REF!</definedName>
    <definedName name="__km194">#REF!</definedName>
    <definedName name="__km195" localSheetId="7">#REF!</definedName>
    <definedName name="__km195">#REF!</definedName>
    <definedName name="__km196" localSheetId="7">#REF!</definedName>
    <definedName name="__km196">#REF!</definedName>
    <definedName name="__km197" localSheetId="7">#REF!</definedName>
    <definedName name="__km197">#REF!</definedName>
    <definedName name="__km198" localSheetId="7">#REF!</definedName>
    <definedName name="__km198">#REF!</definedName>
    <definedName name="__Lan1" localSheetId="2" hidden="1">{"'Sheet1'!$L$16"}</definedName>
    <definedName name="__Lan1" localSheetId="5" hidden="1">{"'Sheet1'!$L$16"}</definedName>
    <definedName name="__Lan1" hidden="1">{"'Sheet1'!$L$16"}</definedName>
    <definedName name="__LAN3" localSheetId="2" hidden="1">{"'Sheet1'!$L$16"}</definedName>
    <definedName name="__LAN3" localSheetId="5" hidden="1">{"'Sheet1'!$L$16"}</definedName>
    <definedName name="__LAN3" hidden="1">{"'Sheet1'!$L$16"}</definedName>
    <definedName name="__lap1" localSheetId="7">#REF!</definedName>
    <definedName name="__lap1">#REF!</definedName>
    <definedName name="__lap2" localSheetId="7">#REF!</definedName>
    <definedName name="__lap2">#REF!</definedName>
    <definedName name="__lk2" localSheetId="2" hidden="1">{"'Sheet1'!$L$16"}</definedName>
    <definedName name="__lk2" localSheetId="5" hidden="1">{"'Sheet1'!$L$16"}</definedName>
    <definedName name="__lk2" hidden="1">{"'Sheet1'!$L$16"}</definedName>
    <definedName name="__MAC12" localSheetId="7">#REF!</definedName>
    <definedName name="__MAC12">#REF!</definedName>
    <definedName name="__MAC46" localSheetId="7">#REF!</definedName>
    <definedName name="__MAC46">#REF!</definedName>
    <definedName name="__MN124" localSheetId="7">#REF!</definedName>
    <definedName name="__MN124">#REF!</definedName>
    <definedName name="__nc151" localSheetId="7">#REF!</definedName>
    <definedName name="__nc151">#REF!</definedName>
    <definedName name="__NCL100" localSheetId="7">#REF!</definedName>
    <definedName name="__NCL100">#REF!</definedName>
    <definedName name="__NCL200" localSheetId="7">#REF!</definedName>
    <definedName name="__NCL200">#REF!</definedName>
    <definedName name="__NCL250" localSheetId="7">#REF!</definedName>
    <definedName name="__NCL250">#REF!</definedName>
    <definedName name="__NET2" localSheetId="7">#REF!</definedName>
    <definedName name="__NET2">#REF!</definedName>
    <definedName name="__nin190" localSheetId="7">#REF!</definedName>
    <definedName name="__nin190">#REF!</definedName>
    <definedName name="__NSO2" localSheetId="2" hidden="1">{"'Sheet1'!$L$16"}</definedName>
    <definedName name="__NSO2" localSheetId="5" hidden="1">{"'Sheet1'!$L$16"}</definedName>
    <definedName name="__NSO2" hidden="1">{"'Sheet1'!$L$16"}</definedName>
    <definedName name="__PA3" localSheetId="2" hidden="1">{"'Sheet1'!$L$16"}</definedName>
    <definedName name="__PA3" localSheetId="5" hidden="1">{"'Sheet1'!$L$16"}</definedName>
    <definedName name="__PA3" hidden="1">{"'Sheet1'!$L$16"}</definedName>
    <definedName name="__Pl2" localSheetId="2" hidden="1">{"'Sheet1'!$L$16"}</definedName>
    <definedName name="__Pl2" localSheetId="5" hidden="1">{"'Sheet1'!$L$16"}</definedName>
    <definedName name="__Pl2" hidden="1">{"'Sheet1'!$L$16"}</definedName>
    <definedName name="__phi10" localSheetId="7">#REF!</definedName>
    <definedName name="__phi10">#REF!</definedName>
    <definedName name="__phi12" localSheetId="7">#REF!</definedName>
    <definedName name="__phi12">#REF!</definedName>
    <definedName name="__phi14" localSheetId="7">#REF!</definedName>
    <definedName name="__phi14">#REF!</definedName>
    <definedName name="__phi16" localSheetId="7">#REF!</definedName>
    <definedName name="__phi16">#REF!</definedName>
    <definedName name="__phi18" localSheetId="7">#REF!</definedName>
    <definedName name="__phi18">#REF!</definedName>
    <definedName name="__phi20" localSheetId="7">#REF!</definedName>
    <definedName name="__phi20">#REF!</definedName>
    <definedName name="__phi22" localSheetId="7">#REF!</definedName>
    <definedName name="__phi22">#REF!</definedName>
    <definedName name="__phi25" localSheetId="7">#REF!</definedName>
    <definedName name="__phi25">#REF!</definedName>
    <definedName name="__phi28" localSheetId="7">#REF!</definedName>
    <definedName name="__phi28">#REF!</definedName>
    <definedName name="__phi6" localSheetId="7">#REF!</definedName>
    <definedName name="__phi6">#REF!</definedName>
    <definedName name="__phi8" localSheetId="7">#REF!</definedName>
    <definedName name="__phi8">#REF!</definedName>
    <definedName name="__Sat27" localSheetId="7">#REF!</definedName>
    <definedName name="__Sat27">#REF!</definedName>
    <definedName name="__sc1" localSheetId="7">#REF!</definedName>
    <definedName name="__sc1">#REF!</definedName>
    <definedName name="__SC2" localSheetId="7">#REF!</definedName>
    <definedName name="__SC2">#REF!</definedName>
    <definedName name="__sc3" localSheetId="7">#REF!</definedName>
    <definedName name="__sc3">#REF!</definedName>
    <definedName name="__slg1" localSheetId="7">#REF!</definedName>
    <definedName name="__slg1">#REF!</definedName>
    <definedName name="__slg2" localSheetId="7">#REF!</definedName>
    <definedName name="__slg2">#REF!</definedName>
    <definedName name="__slg3" localSheetId="7">#REF!</definedName>
    <definedName name="__slg3">#REF!</definedName>
    <definedName name="__slg4" localSheetId="7">#REF!</definedName>
    <definedName name="__slg4">#REF!</definedName>
    <definedName name="__slg5" localSheetId="7">#REF!</definedName>
    <definedName name="__slg5">#REF!</definedName>
    <definedName name="__slg6" localSheetId="7">#REF!</definedName>
    <definedName name="__slg6">#REF!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TD0898" localSheetId="7">#REF!</definedName>
    <definedName name="__STD0898">#REF!</definedName>
    <definedName name="__TB1" localSheetId="7">#REF!</definedName>
    <definedName name="__TB1">#REF!</definedName>
    <definedName name="__tb2" localSheetId="7">BlankMacro1</definedName>
    <definedName name="__tb2">BlankMacro1</definedName>
    <definedName name="__TCO2" localSheetId="7">#REF!</definedName>
    <definedName name="__TCO2">#REF!</definedName>
    <definedName name="__TCO3" localSheetId="7">#REF!</definedName>
    <definedName name="__TCO3">#REF!</definedName>
    <definedName name="__tg1" localSheetId="7">#REF!</definedName>
    <definedName name="__tg1">#REF!</definedName>
    <definedName name="__tg427" localSheetId="7">#REF!</definedName>
    <definedName name="__tg427">#REF!</definedName>
    <definedName name="__TK622" localSheetId="7">#REF!</definedName>
    <definedName name="__TK622">#REF!</definedName>
    <definedName name="__TL1" localSheetId="7">#REF!</definedName>
    <definedName name="__TL1">#REF!</definedName>
    <definedName name="__TL2" localSheetId="7">#REF!</definedName>
    <definedName name="__TL2">#REF!</definedName>
    <definedName name="__TL3" localSheetId="7">#REF!</definedName>
    <definedName name="__TL3">#REF!</definedName>
    <definedName name="__TLA120" localSheetId="7">#REF!</definedName>
    <definedName name="__TLA120">#REF!</definedName>
    <definedName name="__TLA35" localSheetId="7">#REF!</definedName>
    <definedName name="__TLA35">#REF!</definedName>
    <definedName name="__TLA50" localSheetId="7">#REF!</definedName>
    <definedName name="__TLA50">#REF!</definedName>
    <definedName name="__TLA70" localSheetId="7">#REF!</definedName>
    <definedName name="__TLA70">#REF!</definedName>
    <definedName name="__TLA95" localSheetId="7">#REF!</definedName>
    <definedName name="__TLA95">#REF!</definedName>
    <definedName name="__tt3" localSheetId="2" hidden="1">{"'Sheet1'!$L$16"}</definedName>
    <definedName name="__tt3" localSheetId="5" hidden="1">{"'Sheet1'!$L$16"}</definedName>
    <definedName name="__tt3" hidden="1">{"'Sheet1'!$L$16"}</definedName>
    <definedName name="__TT31" localSheetId="2" hidden="1">{"'Sheet1'!$L$16"}</definedName>
    <definedName name="__TT31" localSheetId="5" hidden="1">{"'Sheet1'!$L$16"}</definedName>
    <definedName name="__TT31" hidden="1">{"'Sheet1'!$L$16"}</definedName>
    <definedName name="__tz593" localSheetId="7">#REF!</definedName>
    <definedName name="__tz593">#REF!</definedName>
    <definedName name="__TH20" localSheetId="7">#REF!</definedName>
    <definedName name="__TH20">#REF!</definedName>
    <definedName name="__Tru21" localSheetId="2" hidden="1">{"'Sheet1'!$L$16"}</definedName>
    <definedName name="__Tru21" localSheetId="5" hidden="1">{"'Sheet1'!$L$16"}</definedName>
    <definedName name="__Tru21" hidden="1">{"'Sheet1'!$L$16"}</definedName>
    <definedName name="__VL100" localSheetId="7">#REF!</definedName>
    <definedName name="__VL100">#REF!</definedName>
    <definedName name="__VL200" localSheetId="7">#REF!</definedName>
    <definedName name="__VL200">#REF!</definedName>
    <definedName name="__VL250" localSheetId="7">#REF!</definedName>
    <definedName name="__VL250">#REF!</definedName>
    <definedName name="__VM2" localSheetId="2" hidden="1">{"'Sheet1'!$L$16"}</definedName>
    <definedName name="__VM2" localSheetId="5" hidden="1">{"'Sheet1'!$L$16"}</definedName>
    <definedName name="__VM2" hidden="1">{"'Sheet1'!$L$16"}</definedName>
    <definedName name="_01_01_99" localSheetId="7">#REF!</definedName>
    <definedName name="_01_01_99">#REF!</definedName>
    <definedName name="_01_02_99" localSheetId="7">#REF!</definedName>
    <definedName name="_01_02_99">#REF!</definedName>
    <definedName name="_01_03_99" localSheetId="7">#REF!</definedName>
    <definedName name="_01_03_99">#REF!</definedName>
    <definedName name="_01_04_99" localSheetId="7">#REF!</definedName>
    <definedName name="_01_04_99">#REF!</definedName>
    <definedName name="_01_05_99" localSheetId="7">#REF!</definedName>
    <definedName name="_01_05_99">#REF!</definedName>
    <definedName name="_01_06_99" localSheetId="7">#REF!</definedName>
    <definedName name="_01_06_99">#REF!</definedName>
    <definedName name="_01_07_99" localSheetId="7">#REF!</definedName>
    <definedName name="_01_07_99">#REF!</definedName>
    <definedName name="_01_08_1999" localSheetId="7">#REF!</definedName>
    <definedName name="_01_08_1999">#REF!</definedName>
    <definedName name="_01_11_2001">#N/A</definedName>
    <definedName name="_05.6022" localSheetId="7">#REF!</definedName>
    <definedName name="_05.6022">#REF!</definedName>
    <definedName name="_1">#N/A</definedName>
    <definedName name="_1_??" localSheetId="14">BlankMacro1</definedName>
    <definedName name="_10_??????1" localSheetId="2">BlankMacro1</definedName>
    <definedName name="_1000A01">#N/A</definedName>
    <definedName name="_11_??????1" localSheetId="5">BlankMacro1</definedName>
    <definedName name="_12_??????1" localSheetId="7">BlankMacro1</definedName>
    <definedName name="_13_??????1" localSheetId="13">BlankMacro1</definedName>
    <definedName name="_14_??????1">BlankMacro1</definedName>
    <definedName name="_15_??????2" localSheetId="14">BlankMacro1</definedName>
    <definedName name="_16_??????2" localSheetId="3">BlankMacro1</definedName>
    <definedName name="_17_??????2" localSheetId="2">BlankMacro1</definedName>
    <definedName name="_18_??????2" localSheetId="5">BlankMacro1</definedName>
    <definedName name="_19_??????2" localSheetId="7">BlankMacro1</definedName>
    <definedName name="_1BA2500" localSheetId="7">#REF!</definedName>
    <definedName name="_1BA2500">#REF!</definedName>
    <definedName name="_1BA3250" localSheetId="7">#REF!</definedName>
    <definedName name="_1BA3250">#REF!</definedName>
    <definedName name="_1BA400P" localSheetId="7">#REF!</definedName>
    <definedName name="_1BA400P">#REF!</definedName>
    <definedName name="_1CAP001" localSheetId="7">#REF!</definedName>
    <definedName name="_1CAP001">#REF!</definedName>
    <definedName name="_1CAP011" localSheetId="7">#REF!</definedName>
    <definedName name="_1CAP011">#REF!</definedName>
    <definedName name="_1CAP012" localSheetId="7">#REF!</definedName>
    <definedName name="_1CAP012">#REF!</definedName>
    <definedName name="_1CDHT03" localSheetId="7">#REF!</definedName>
    <definedName name="_1CDHT03">#REF!</definedName>
    <definedName name="_1CHANG2" localSheetId="7">#REF!</definedName>
    <definedName name="_1CHANG2">#REF!</definedName>
    <definedName name="_1DADOI1" localSheetId="7">#REF!</definedName>
    <definedName name="_1DADOI1">#REF!</definedName>
    <definedName name="_1DAU002" localSheetId="7">#REF!</definedName>
    <definedName name="_1DAU002">#REF!</definedName>
    <definedName name="_1DDAY03" localSheetId="7">#REF!</definedName>
    <definedName name="_1DDAY03">#REF!</definedName>
    <definedName name="_1DDTT01" localSheetId="7">#REF!</definedName>
    <definedName name="_1DDTT01">#REF!</definedName>
    <definedName name="_1FCO101" localSheetId="7">#REF!</definedName>
    <definedName name="_1FCO101">#REF!</definedName>
    <definedName name="_1GIA101" localSheetId="7">#REF!</definedName>
    <definedName name="_1GIA101">#REF!</definedName>
    <definedName name="_1LA1001" localSheetId="7">#REF!</definedName>
    <definedName name="_1LA1001">#REF!</definedName>
    <definedName name="_1MCCBO2" localSheetId="7">#REF!</definedName>
    <definedName name="_1MCCBO2">#REF!</definedName>
    <definedName name="_1PKCAP1" localSheetId="7">#REF!</definedName>
    <definedName name="_1PKCAP1">#REF!</definedName>
    <definedName name="_1PKIEN2" localSheetId="7">#REF!</definedName>
    <definedName name="_1PKIEN2">#REF!</definedName>
    <definedName name="_1PKTT01" localSheetId="7">#REF!</definedName>
    <definedName name="_1PKTT01">#REF!</definedName>
    <definedName name="_1TCD101" localSheetId="7">#REF!</definedName>
    <definedName name="_1TCD101">#REF!</definedName>
    <definedName name="_1TCD201" localSheetId="7">#REF!</definedName>
    <definedName name="_1TCD201">#REF!</definedName>
    <definedName name="_1TCD203" localSheetId="7">#REF!</definedName>
    <definedName name="_1TCD203">#REF!</definedName>
    <definedName name="_1TD2001" localSheetId="7">#REF!</definedName>
    <definedName name="_1TD2001">#REF!</definedName>
    <definedName name="_1TIHT01" localSheetId="7">#REF!</definedName>
    <definedName name="_1TIHT01">#REF!</definedName>
    <definedName name="_1TIHT06" localSheetId="7">#REF!</definedName>
    <definedName name="_1TIHT06">#REF!</definedName>
    <definedName name="_1TIHT07" localSheetId="7">#REF!</definedName>
    <definedName name="_1TIHT07">#REF!</definedName>
    <definedName name="_1TRU121" localSheetId="7">#REF!</definedName>
    <definedName name="_1TRU121">#REF!</definedName>
    <definedName name="_2">#N/A</definedName>
    <definedName name="_2_??" localSheetId="3">BlankMacro1</definedName>
    <definedName name="_20_??????2" localSheetId="13">BlankMacro1</definedName>
    <definedName name="_21_??????2">BlankMacro1</definedName>
    <definedName name="_22_??????3" localSheetId="14">BlankMacro1</definedName>
    <definedName name="_23_??????3" localSheetId="3">BlankMacro1</definedName>
    <definedName name="_23NA" localSheetId="7">#REF!</definedName>
    <definedName name="_23NA">#REF!</definedName>
    <definedName name="_23NB" localSheetId="7">#REF!</definedName>
    <definedName name="_23NB">#REF!</definedName>
    <definedName name="_23NC" localSheetId="7">#REF!</definedName>
    <definedName name="_23NC">#REF!</definedName>
    <definedName name="_24_??????3" localSheetId="2">BlankMacro1</definedName>
    <definedName name="_25_??????3" localSheetId="5">BlankMacro1</definedName>
    <definedName name="_26_??????3" localSheetId="7">BlankMacro1</definedName>
    <definedName name="_27_??????3" localSheetId="13">BlankMacro1</definedName>
    <definedName name="_28_??????3">BlankMacro1</definedName>
    <definedName name="_29_??????4" localSheetId="14">BlankMacro1</definedName>
    <definedName name="_2BLA100" localSheetId="7">#REF!</definedName>
    <definedName name="_2BLA100">#REF!</definedName>
    <definedName name="_2CHANG1" localSheetId="7">#REF!</definedName>
    <definedName name="_2CHANG1">#REF!</definedName>
    <definedName name="_2CHANG2" localSheetId="7">#REF!</definedName>
    <definedName name="_2CHANG2">#REF!</definedName>
    <definedName name="_2DADOI1" localSheetId="7">#REF!</definedName>
    <definedName name="_2DADOI1">#REF!</definedName>
    <definedName name="_2DAL201" localSheetId="7">#REF!</definedName>
    <definedName name="_2DAL201">#REF!</definedName>
    <definedName name="_2KD0222" localSheetId="7">#REF!</definedName>
    <definedName name="_2KD0222">#REF!</definedName>
    <definedName name="_2TD2001" localSheetId="7">#REF!</definedName>
    <definedName name="_2TD2001">#REF!</definedName>
    <definedName name="_3_??" localSheetId="2">BlankMacro1</definedName>
    <definedName name="_30_??????4" localSheetId="3">BlankMacro1</definedName>
    <definedName name="_31_??????4" localSheetId="2">BlankMacro1</definedName>
    <definedName name="_32_??????4" localSheetId="5">BlankMacro1</definedName>
    <definedName name="_33_??????4" localSheetId="7">BlankMacro1</definedName>
    <definedName name="_34_??????4" localSheetId="13">BlankMacro1</definedName>
    <definedName name="_35_??????4">BlankMacro1</definedName>
    <definedName name="_36_??????5" localSheetId="14">BlankMacro1</definedName>
    <definedName name="_37_??????5" localSheetId="3">BlankMacro1</definedName>
    <definedName name="_38_??????5" localSheetId="2">BlankMacro1</definedName>
    <definedName name="_39_??????5" localSheetId="5">BlankMacro1</definedName>
    <definedName name="_3BLXMD" localSheetId="7">#REF!</definedName>
    <definedName name="_3BLXMD">#REF!</definedName>
    <definedName name="_3BOAG01" localSheetId="7">#REF!</definedName>
    <definedName name="_3BOAG01">#REF!</definedName>
    <definedName name="_3COSSE1" localSheetId="7">#REF!</definedName>
    <definedName name="_3COSSE1">#REF!</definedName>
    <definedName name="_3CTKHAC" localSheetId="7">#REF!</definedName>
    <definedName name="_3CTKHAC">#REF!</definedName>
    <definedName name="_3DMINO1" localSheetId="7">#REF!</definedName>
    <definedName name="_3DMINO1">#REF!</definedName>
    <definedName name="_3DMINO2" localSheetId="7">#REF!</definedName>
    <definedName name="_3DMINO2">#REF!</definedName>
    <definedName name="_3DUPSSS" localSheetId="7">#REF!</definedName>
    <definedName name="_3DUPSSS">#REF!</definedName>
    <definedName name="_3HTTR01" localSheetId="7">#REF!</definedName>
    <definedName name="_3HTTR01">#REF!</definedName>
    <definedName name="_3HTTR02" localSheetId="7">#REF!</definedName>
    <definedName name="_3HTTR02">#REF!</definedName>
    <definedName name="_3HTTR03" localSheetId="7">#REF!</definedName>
    <definedName name="_3HTTR03">#REF!</definedName>
    <definedName name="_3HTTR04" localSheetId="7">#REF!</definedName>
    <definedName name="_3HTTR04">#REF!</definedName>
    <definedName name="_3HTTR05" localSheetId="7">#REF!</definedName>
    <definedName name="_3HTTR05">#REF!</definedName>
    <definedName name="_3PKDOM1" localSheetId="7">#REF!</definedName>
    <definedName name="_3PKDOM1">#REF!</definedName>
    <definedName name="_3PKDOM2" localSheetId="7">#REF!</definedName>
    <definedName name="_3PKDOM2">#REF!</definedName>
    <definedName name="_3TU0609" localSheetId="7">#REF!</definedName>
    <definedName name="_3TU0609">#REF!</definedName>
    <definedName name="_4_??" localSheetId="5">BlankMacro1</definedName>
    <definedName name="_40_??????5" localSheetId="7">BlankMacro1</definedName>
    <definedName name="_40x4">5100</definedName>
    <definedName name="_41_??????5" localSheetId="13">BlankMacro1</definedName>
    <definedName name="_413565">"hdong+Sheet1!$A$2:$J$24263!$A$13374"</definedName>
    <definedName name="_42_??????5">BlankMacro1</definedName>
    <definedName name="_43_??????6" localSheetId="14">BlankMacro1</definedName>
    <definedName name="_430.001" localSheetId="7">#REF!</definedName>
    <definedName name="_430.001">#REF!</definedName>
    <definedName name="_44_??????6" localSheetId="3">BlankMacro1</definedName>
    <definedName name="_45_??????6" localSheetId="2">BlankMacro1</definedName>
    <definedName name="_46_??????6" localSheetId="5">BlankMacro1</definedName>
    <definedName name="_47_??????6" localSheetId="7">BlankMacro1</definedName>
    <definedName name="_48_??????6" localSheetId="13">BlankMacro1</definedName>
    <definedName name="_49_??????6">BlankMacro1</definedName>
    <definedName name="_4CNT240" localSheetId="7">#REF!</definedName>
    <definedName name="_4CNT240">#REF!</definedName>
    <definedName name="_4CTL240" localSheetId="7">#REF!</definedName>
    <definedName name="_4CTL240">#REF!</definedName>
    <definedName name="_4FCO100" localSheetId="7">#REF!</definedName>
    <definedName name="_4FCO100">#REF!</definedName>
    <definedName name="_4HDCTT4" localSheetId="7">#REF!</definedName>
    <definedName name="_4HDCTT4">#REF!</definedName>
    <definedName name="_4HNCTT4" localSheetId="7">#REF!</definedName>
    <definedName name="_4HNCTT4">#REF!</definedName>
    <definedName name="_4LBCO01" localSheetId="7">#REF!</definedName>
    <definedName name="_4LBCO01">#REF!</definedName>
    <definedName name="_5_??" localSheetId="7">BlankMacro1</definedName>
    <definedName name="_52MAÕ_HAØNG" localSheetId="13">#REF!</definedName>
    <definedName name="_53MAÕ_HAØNG">#REF!</definedName>
    <definedName name="_54MAÕ_SOÁ_THUEÁ" localSheetId="7">#REF!</definedName>
    <definedName name="_55MAÕ_SOÁ_THUEÁ" localSheetId="13">#REF!</definedName>
    <definedName name="_56MAÕ_SOÁ_THUEÁ">#REF!</definedName>
    <definedName name="_57ÑÔN_GIAÙ" localSheetId="7">#REF!</definedName>
    <definedName name="_58ÑÔN_GIAÙ" localSheetId="13">#REF!</definedName>
    <definedName name="_59ÑÔN_GIAÙ">#REF!</definedName>
    <definedName name="_6_??" localSheetId="13">BlankMacro1</definedName>
    <definedName name="_60SOÁ_CTÖØ" localSheetId="7">#REF!</definedName>
    <definedName name="_61SOÁ_CTÖØ" localSheetId="13">#REF!</definedName>
    <definedName name="_62SOÁ_CTÖØ">#REF!</definedName>
    <definedName name="_63SOÁ_LÖÔÏNG" localSheetId="13">#REF!</definedName>
    <definedName name="_64SOÁ_LÖÔÏNG">#REF!</definedName>
    <definedName name="_65TEÂN_HAØNG" localSheetId="7">#REF!</definedName>
    <definedName name="_66TEÂN_HAØNG" localSheetId="13">#REF!</definedName>
    <definedName name="_67TEÂN_HAØNG">#REF!</definedName>
    <definedName name="_68TEÂN_KHAÙCH_HAØ" localSheetId="7">#REF!</definedName>
    <definedName name="_69TEÂN_KHAÙCH_HAØ" localSheetId="13">#REF!</definedName>
    <definedName name="_7_??">BlankMacro1</definedName>
    <definedName name="_70TEÂN_KHAÙCH_HAØ">#REF!</definedName>
    <definedName name="_71THAØNH_TIEÀN" localSheetId="7">#REF!</definedName>
    <definedName name="_72THAØNH_TIEÀN" localSheetId="13">#REF!</definedName>
    <definedName name="_73THAØNH_TIEÀN">#REF!</definedName>
    <definedName name="_74TRÒ_GIAÙ" localSheetId="7">#REF!</definedName>
    <definedName name="_75TRÒ_GIAÙ" localSheetId="13">#REF!</definedName>
    <definedName name="_76TRÒ_GIAÙ">#REF!</definedName>
    <definedName name="_77TRÒ_GIAÙ__VAT" localSheetId="7">#REF!</definedName>
    <definedName name="_78TRÒ_GIAÙ__VAT" localSheetId="13">#REF!</definedName>
    <definedName name="_79TRÒ_GIAÙ__VAT">#REF!</definedName>
    <definedName name="_8_??????1" localSheetId="14">BlankMacro1</definedName>
    <definedName name="_9_??????1" localSheetId="3">BlankMacro1</definedName>
    <definedName name="_atn1" localSheetId="7">#REF!</definedName>
    <definedName name="_atn1">#REF!</definedName>
    <definedName name="_atn10" localSheetId="7">#REF!</definedName>
    <definedName name="_atn10">#REF!</definedName>
    <definedName name="_atn2" localSheetId="7">#REF!</definedName>
    <definedName name="_atn2">#REF!</definedName>
    <definedName name="_atn3" localSheetId="7">#REF!</definedName>
    <definedName name="_atn3">#REF!</definedName>
    <definedName name="_atn4" localSheetId="7">#REF!</definedName>
    <definedName name="_atn4">#REF!</definedName>
    <definedName name="_atn5" localSheetId="7">#REF!</definedName>
    <definedName name="_atn5">#REF!</definedName>
    <definedName name="_atn6" localSheetId="7">#REF!</definedName>
    <definedName name="_atn6">#REF!</definedName>
    <definedName name="_atn7" localSheetId="7">#REF!</definedName>
    <definedName name="_atn7">#REF!</definedName>
    <definedName name="_atn8" localSheetId="7">#REF!</definedName>
    <definedName name="_atn8">#REF!</definedName>
    <definedName name="_atn9" localSheetId="7">#REF!</definedName>
    <definedName name="_atn9">#REF!</definedName>
    <definedName name="_ban2" localSheetId="2" hidden="1">{"'Sheet1'!$L$16"}</definedName>
    <definedName name="_ban2" localSheetId="5" hidden="1">{"'Sheet1'!$L$16"}</definedName>
    <definedName name="_ban2" hidden="1">{"'Sheet1'!$L$16"}</definedName>
    <definedName name="_boi1" localSheetId="7">#REF!</definedName>
    <definedName name="_boi1">#REF!</definedName>
    <definedName name="_boi2" localSheetId="7">#REF!</definedName>
    <definedName name="_boi2">#REF!</definedName>
    <definedName name="_BTM150" localSheetId="7">#REF!</definedName>
    <definedName name="_BTM150">#REF!</definedName>
    <definedName name="_BTM200" localSheetId="7">#REF!</definedName>
    <definedName name="_BTM200">#REF!</definedName>
    <definedName name="_BTM250" localSheetId="7">#REF!</definedName>
    <definedName name="_BTM250">#REF!</definedName>
    <definedName name="_BTM300" localSheetId="7">#REF!</definedName>
    <definedName name="_BTM300">#REF!</definedName>
    <definedName name="_cao1" localSheetId="7">#REF!</definedName>
    <definedName name="_cao1">#REF!</definedName>
    <definedName name="_cao2" localSheetId="7">#REF!</definedName>
    <definedName name="_cao2">#REF!</definedName>
    <definedName name="_cao3" localSheetId="7">#REF!</definedName>
    <definedName name="_cao3">#REF!</definedName>
    <definedName name="_cao4" localSheetId="7">#REF!</definedName>
    <definedName name="_cao4">#REF!</definedName>
    <definedName name="_cao5" localSheetId="7">#REF!</definedName>
    <definedName name="_cao5">#REF!</definedName>
    <definedName name="_cao6" localSheetId="7">#REF!</definedName>
    <definedName name="_cao6">#REF!</definedName>
    <definedName name="_cep1" localSheetId="2" hidden="1">{"'Sheet1'!$L$16"}</definedName>
    <definedName name="_cep1" localSheetId="5" hidden="1">{"'Sheet1'!$L$16"}</definedName>
    <definedName name="_cep1" hidden="1">{"'Sheet1'!$L$16"}</definedName>
    <definedName name="_coc250" localSheetId="7">#REF!</definedName>
    <definedName name="_coc250">#REF!</definedName>
    <definedName name="_coc300" localSheetId="7">#REF!</definedName>
    <definedName name="_coc300">#REF!</definedName>
    <definedName name="_coc350" localSheetId="7">#REF!</definedName>
    <definedName name="_coc350">#REF!</definedName>
    <definedName name="_Coc39" localSheetId="2" hidden="1">{"'Sheet1'!$L$16"}</definedName>
    <definedName name="_Coc39" localSheetId="5" hidden="1">{"'Sheet1'!$L$16"}</definedName>
    <definedName name="_Coc39" hidden="1">{"'Sheet1'!$L$16"}</definedName>
    <definedName name="_CON1" localSheetId="7">#REF!</definedName>
    <definedName name="_CON1">#REF!</definedName>
    <definedName name="_CON2" localSheetId="7">#REF!</definedName>
    <definedName name="_CON2">#REF!</definedName>
    <definedName name="_cot4" localSheetId="7">#REF!</definedName>
    <definedName name="_cot4">#REF!</definedName>
    <definedName name="_cpd1" localSheetId="7">#REF!</definedName>
    <definedName name="_cpd1">#REF!</definedName>
    <definedName name="_cpd2" localSheetId="7">#REF!</definedName>
    <definedName name="_cpd2">#REF!</definedName>
    <definedName name="_dai1" localSheetId="7">#REF!</definedName>
    <definedName name="_dai1">#REF!</definedName>
    <definedName name="_dai2" localSheetId="7">#REF!</definedName>
    <definedName name="_dai2">#REF!</definedName>
    <definedName name="_dai3" localSheetId="7">#REF!</definedName>
    <definedName name="_dai3">#REF!</definedName>
    <definedName name="_dai4" localSheetId="7">#REF!</definedName>
    <definedName name="_dai4">#REF!</definedName>
    <definedName name="_dai5" localSheetId="7">#REF!</definedName>
    <definedName name="_dai5">#REF!</definedName>
    <definedName name="_dai6" localSheetId="7">#REF!</definedName>
    <definedName name="_dai6">#REF!</definedName>
    <definedName name="_dan1" localSheetId="7">#REF!</definedName>
    <definedName name="_dan1">#REF!</definedName>
    <definedName name="_dan2" localSheetId="7">#REF!</definedName>
    <definedName name="_dan2">#REF!</definedName>
    <definedName name="_DAO3" localSheetId="7">#REF!</definedName>
    <definedName name="_DAO3">#REF!</definedName>
    <definedName name="_DAP3" localSheetId="7">#REF!</definedName>
    <definedName name="_DAP3">#REF!</definedName>
    <definedName name="_ddn400" localSheetId="7">#REF!</definedName>
    <definedName name="_ddn400">#REF!</definedName>
    <definedName name="_ddn600" localSheetId="7">#REF!</definedName>
    <definedName name="_ddn600">#REF!</definedName>
    <definedName name="_deo1" localSheetId="7">#REF!</definedName>
    <definedName name="_deo1">#REF!</definedName>
    <definedName name="_deo10" localSheetId="7">#REF!</definedName>
    <definedName name="_deo10">#REF!</definedName>
    <definedName name="_deo2" localSheetId="7">#REF!</definedName>
    <definedName name="_deo2">#REF!</definedName>
    <definedName name="_deo3" localSheetId="7">#REF!</definedName>
    <definedName name="_deo3">#REF!</definedName>
    <definedName name="_deo4" localSheetId="7">#REF!</definedName>
    <definedName name="_deo4">#REF!</definedName>
    <definedName name="_deo5" localSheetId="7">#REF!</definedName>
    <definedName name="_deo5">#REF!</definedName>
    <definedName name="_deo6" localSheetId="7">#REF!</definedName>
    <definedName name="_deo6">#REF!</definedName>
    <definedName name="_deo7" localSheetId="7">#REF!</definedName>
    <definedName name="_deo7">#REF!</definedName>
    <definedName name="_deo8" localSheetId="7">#REF!</definedName>
    <definedName name="_deo8">#REF!</definedName>
    <definedName name="_deo9" localSheetId="7">#REF!</definedName>
    <definedName name="_deo9">#REF!</definedName>
    <definedName name="_E99999" localSheetId="7">#REF!</definedName>
    <definedName name="_E99999">#REF!</definedName>
    <definedName name="_f409408" localSheetId="7">#REF!</definedName>
    <definedName name="_f409408">#REF!</definedName>
    <definedName name="_Fill" localSheetId="2">#REF!</definedName>
    <definedName name="_Fill" localSheetId="5">#REF!</definedName>
    <definedName name="_Fill" localSheetId="7">#REF!</definedName>
    <definedName name="_Fill">#REF!</definedName>
    <definedName name="_Goi8" localSheetId="2" hidden="1">{"'Sheet1'!$L$16"}</definedName>
    <definedName name="_Goi8" localSheetId="5" hidden="1">{"'Sheet1'!$L$16"}</definedName>
    <definedName name="_Goi8" hidden="1">{"'Sheet1'!$L$16"}</definedName>
    <definedName name="_gon4" localSheetId="7">#REF!</definedName>
    <definedName name="_gon4">#REF!</definedName>
    <definedName name="_hsm2">1.1289</definedName>
    <definedName name="_HUY1" localSheetId="2" hidden="1">{"'Sheet1'!$L$16"}</definedName>
    <definedName name="_HUY1" localSheetId="5" hidden="1">{"'Sheet1'!$L$16"}</definedName>
    <definedName name="_HUY1" hidden="1">{"'Sheet1'!$L$16"}</definedName>
    <definedName name="_HUY2" localSheetId="2" hidden="1">{"'Sheet1'!$L$16"}</definedName>
    <definedName name="_HUY2" localSheetId="5" hidden="1">{"'Sheet1'!$L$16"}</definedName>
    <definedName name="_HUY2" hidden="1">{"'Sheet1'!$L$16"}</definedName>
    <definedName name="_isc1">0.035</definedName>
    <definedName name="_isc2">0.02</definedName>
    <definedName name="_isc3">0.054</definedName>
    <definedName name="_Key1" localSheetId="2" hidden="1">#REF!</definedName>
    <definedName name="_Key1" localSheetId="5" hidden="1">#REF!</definedName>
    <definedName name="_Key1" localSheetId="7" hidden="1">#REF!</definedName>
    <definedName name="_Key1" hidden="1">#REF!</definedName>
    <definedName name="_Key2" localSheetId="2" hidden="1">#REF!</definedName>
    <definedName name="_Key2" localSheetId="5" hidden="1">#REF!</definedName>
    <definedName name="_Key2" localSheetId="7" hidden="1">#REF!</definedName>
    <definedName name="_Key2" hidden="1">#REF!</definedName>
    <definedName name="_Kks1" localSheetId="7">#REF!</definedName>
    <definedName name="_Kks1">#REF!</definedName>
    <definedName name="_Kks2" localSheetId="7">#REF!</definedName>
    <definedName name="_Kks2">#REF!</definedName>
    <definedName name="_KM188" localSheetId="7">#REF!</definedName>
    <definedName name="_KM188">#REF!</definedName>
    <definedName name="_km189" localSheetId="7">#REF!</definedName>
    <definedName name="_km189">#REF!</definedName>
    <definedName name="_km190" localSheetId="7">#REF!</definedName>
    <definedName name="_km190">#REF!</definedName>
    <definedName name="_km191" localSheetId="7">#REF!</definedName>
    <definedName name="_km191">#REF!</definedName>
    <definedName name="_km192" localSheetId="7">#REF!</definedName>
    <definedName name="_km192">#REF!</definedName>
    <definedName name="_km193" localSheetId="7">#REF!</definedName>
    <definedName name="_km193">#REF!</definedName>
    <definedName name="_km194" localSheetId="7">#REF!</definedName>
    <definedName name="_km194">#REF!</definedName>
    <definedName name="_km195" localSheetId="7">#REF!</definedName>
    <definedName name="_km195">#REF!</definedName>
    <definedName name="_km196" localSheetId="7">#REF!</definedName>
    <definedName name="_km196">#REF!</definedName>
    <definedName name="_km197" localSheetId="7">#REF!</definedName>
    <definedName name="_km197">#REF!</definedName>
    <definedName name="_km198" localSheetId="7">#REF!</definedName>
    <definedName name="_km198">#REF!</definedName>
    <definedName name="_Lan1" localSheetId="2" hidden="1">{"'Sheet1'!$L$16"}</definedName>
    <definedName name="_Lan1" localSheetId="5" hidden="1">{"'Sheet1'!$L$16"}</definedName>
    <definedName name="_Lan1" hidden="1">{"'Sheet1'!$L$16"}</definedName>
    <definedName name="_LAN3" localSheetId="2" hidden="1">{"'Sheet1'!$L$16"}</definedName>
    <definedName name="_LAN3" localSheetId="5" hidden="1">{"'Sheet1'!$L$16"}</definedName>
    <definedName name="_LAN3" hidden="1">{"'Sheet1'!$L$16"}</definedName>
    <definedName name="_lap1" localSheetId="7">#REF!</definedName>
    <definedName name="_lap1">#REF!</definedName>
    <definedName name="_lap2" localSheetId="7">#REF!</definedName>
    <definedName name="_lap2">#REF!</definedName>
    <definedName name="_lk2" localSheetId="2" hidden="1">{"'Sheet1'!$L$16"}</definedName>
    <definedName name="_lk2" localSheetId="5" hidden="1">{"'Sheet1'!$L$16"}</definedName>
    <definedName name="_lk2" hidden="1">{"'Sheet1'!$L$16"}</definedName>
    <definedName name="_MAC12" localSheetId="7">#REF!</definedName>
    <definedName name="_MAC12">#REF!</definedName>
    <definedName name="_MAC46" localSheetId="7">#REF!</definedName>
    <definedName name="_MAC46">#REF!</definedName>
    <definedName name="_MN124" localSheetId="7">#REF!</definedName>
    <definedName name="_MN124">#REF!</definedName>
    <definedName name="_nc151" localSheetId="7">#REF!</definedName>
    <definedName name="_nc151">#REF!</definedName>
    <definedName name="_NCL100" localSheetId="7">#REF!</definedName>
    <definedName name="_NCL100">#REF!</definedName>
    <definedName name="_NCL200" localSheetId="7">#REF!</definedName>
    <definedName name="_NCL200">#REF!</definedName>
    <definedName name="_NCL250" localSheetId="7">#REF!</definedName>
    <definedName name="_NCL250">#REF!</definedName>
    <definedName name="_NET2" localSheetId="7">#REF!</definedName>
    <definedName name="_NET2">#REF!</definedName>
    <definedName name="_nin190" localSheetId="7">#REF!</definedName>
    <definedName name="_nin190">#REF!</definedName>
    <definedName name="_NSO2" localSheetId="14" hidden="1">{"'Sheet1'!$L$16"}</definedName>
    <definedName name="_NSO2" localSheetId="3" hidden="1">{"'Sheet1'!$L$16"}</definedName>
    <definedName name="_NSO2" localSheetId="2" hidden="1">{"'Sheet1'!$L$16"}</definedName>
    <definedName name="_NSO2" localSheetId="5" hidden="1">{"'Sheet1'!$L$16"}</definedName>
    <definedName name="_NSO2" localSheetId="13" hidden="1">{"'Sheet1'!$L$16"}</definedName>
    <definedName name="_NSO2" hidden="1">{"'Sheet1'!$L$16"}</definedName>
    <definedName name="_Order1" hidden="1">255</definedName>
    <definedName name="_Order2" hidden="1">255</definedName>
    <definedName name="_PA3" localSheetId="2" hidden="1">{"'Sheet1'!$L$16"}</definedName>
    <definedName name="_PA3" localSheetId="5" hidden="1">{"'Sheet1'!$L$16"}</definedName>
    <definedName name="_PA3" hidden="1">{"'Sheet1'!$L$16"}</definedName>
    <definedName name="_Pl2" localSheetId="2" hidden="1">{"'Sheet1'!$L$16"}</definedName>
    <definedName name="_Pl2" localSheetId="5" hidden="1">{"'Sheet1'!$L$16"}</definedName>
    <definedName name="_Pl2" hidden="1">{"'Sheet1'!$L$16"}</definedName>
    <definedName name="_phi10" localSheetId="7">#REF!</definedName>
    <definedName name="_phi10">#REF!</definedName>
    <definedName name="_phi12" localSheetId="7">#REF!</definedName>
    <definedName name="_phi12">#REF!</definedName>
    <definedName name="_phi14" localSheetId="7">#REF!</definedName>
    <definedName name="_phi14">#REF!</definedName>
    <definedName name="_phi16" localSheetId="7">#REF!</definedName>
    <definedName name="_phi16">#REF!</definedName>
    <definedName name="_phi18" localSheetId="7">#REF!</definedName>
    <definedName name="_phi18">#REF!</definedName>
    <definedName name="_phi20" localSheetId="7">#REF!</definedName>
    <definedName name="_phi20">#REF!</definedName>
    <definedName name="_phi22" localSheetId="7">#REF!</definedName>
    <definedName name="_phi22">#REF!</definedName>
    <definedName name="_phi25" localSheetId="7">#REF!</definedName>
    <definedName name="_phi25">#REF!</definedName>
    <definedName name="_phi28" localSheetId="7">#REF!</definedName>
    <definedName name="_phi28">#REF!</definedName>
    <definedName name="_phi6" localSheetId="7">#REF!</definedName>
    <definedName name="_phi6">#REF!</definedName>
    <definedName name="_phi8" localSheetId="7">#REF!</definedName>
    <definedName name="_phi8">#REF!</definedName>
    <definedName name="_QL10" localSheetId="7">#REF!</definedName>
    <definedName name="_QL10">#REF!</definedName>
    <definedName name="_Sat27" localSheetId="7">#REF!</definedName>
    <definedName name="_Sat27">#REF!</definedName>
    <definedName name="_sc1" localSheetId="7">#REF!</definedName>
    <definedName name="_sc1">#REF!</definedName>
    <definedName name="_SC2" localSheetId="7">#REF!</definedName>
    <definedName name="_SC2">#REF!</definedName>
    <definedName name="_sc3" localSheetId="7">#REF!</definedName>
    <definedName name="_sc3">#REF!</definedName>
    <definedName name="_slg1" localSheetId="7">#REF!</definedName>
    <definedName name="_slg1">#REF!</definedName>
    <definedName name="_slg2" localSheetId="7">#REF!</definedName>
    <definedName name="_slg2">#REF!</definedName>
    <definedName name="_slg3" localSheetId="7">#REF!</definedName>
    <definedName name="_slg3">#REF!</definedName>
    <definedName name="_slg4" localSheetId="7">#REF!</definedName>
    <definedName name="_slg4">#REF!</definedName>
    <definedName name="_slg5" localSheetId="7">#REF!</definedName>
    <definedName name="_slg5">#REF!</definedName>
    <definedName name="_slg6" localSheetId="7">#REF!</definedName>
    <definedName name="_slg6">#REF!</definedName>
    <definedName name="_SN3" localSheetId="7">#REF!</definedName>
    <definedName name="_SN3">#REF!</definedName>
    <definedName name="_SOC10">0.3456</definedName>
    <definedName name="_SOC8">0.2827</definedName>
    <definedName name="_Sort" localSheetId="2" hidden="1">#REF!</definedName>
    <definedName name="_Sort" localSheetId="5"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STD0898" localSheetId="7">#REF!</definedName>
    <definedName name="_STD0898">#REF!</definedName>
    <definedName name="_TB1" localSheetId="7">#REF!</definedName>
    <definedName name="_TB1">#REF!</definedName>
    <definedName name="_tb2" localSheetId="7">BlankMacro1</definedName>
    <definedName name="_tb2">BlankMacro1</definedName>
    <definedName name="_TCO2" localSheetId="7">#REF!</definedName>
    <definedName name="_TCO2">#REF!</definedName>
    <definedName name="_TCO3" localSheetId="7">#REF!</definedName>
    <definedName name="_TCO3">#REF!</definedName>
    <definedName name="_tg1" localSheetId="7">#REF!</definedName>
    <definedName name="_tg1">#REF!</definedName>
    <definedName name="_tg427" localSheetId="7">#REF!</definedName>
    <definedName name="_tg427">#REF!</definedName>
    <definedName name="_TK622" localSheetId="7">#REF!</definedName>
    <definedName name="_TK622">#REF!</definedName>
    <definedName name="_TL1" localSheetId="7">#REF!</definedName>
    <definedName name="_TL1">#REF!</definedName>
    <definedName name="_TL2" localSheetId="7">#REF!</definedName>
    <definedName name="_TL2">#REF!</definedName>
    <definedName name="_TL3" localSheetId="7">#REF!</definedName>
    <definedName name="_TL3">#REF!</definedName>
    <definedName name="_TLA120" localSheetId="7">#REF!</definedName>
    <definedName name="_TLA120">#REF!</definedName>
    <definedName name="_TLA35" localSheetId="7">#REF!</definedName>
    <definedName name="_TLA35">#REF!</definedName>
    <definedName name="_TLA50" localSheetId="7">#REF!</definedName>
    <definedName name="_TLA50">#REF!</definedName>
    <definedName name="_TLA70" localSheetId="7">#REF!</definedName>
    <definedName name="_TLA70">#REF!</definedName>
    <definedName name="_TLA95" localSheetId="7">#REF!</definedName>
    <definedName name="_TLA95">#REF!</definedName>
    <definedName name="_tt3" localSheetId="2" hidden="1">{"'Sheet1'!$L$16"}</definedName>
    <definedName name="_tt3" localSheetId="5" hidden="1">{"'Sheet1'!$L$16"}</definedName>
    <definedName name="_tt3" hidden="1">{"'Sheet1'!$L$16"}</definedName>
    <definedName name="_TT31" localSheetId="2" hidden="1">{"'Sheet1'!$L$16"}</definedName>
    <definedName name="_TT31" localSheetId="5" hidden="1">{"'Sheet1'!$L$16"}</definedName>
    <definedName name="_TT31" hidden="1">{"'Sheet1'!$L$16"}</definedName>
    <definedName name="_tz593" localSheetId="7">#REF!</definedName>
    <definedName name="_tz593">#REF!</definedName>
    <definedName name="_TH20" localSheetId="7">#REF!</definedName>
    <definedName name="_TH20">#REF!</definedName>
    <definedName name="_Tru21" localSheetId="2" hidden="1">{"'Sheet1'!$L$16"}</definedName>
    <definedName name="_Tru21" localSheetId="5" hidden="1">{"'Sheet1'!$L$16"}</definedName>
    <definedName name="_Tru21" hidden="1">{"'Sheet1'!$L$16"}</definedName>
    <definedName name="_VL100" localSheetId="7">#REF!</definedName>
    <definedName name="_VL100">#REF!</definedName>
    <definedName name="_VL200" localSheetId="7">#REF!</definedName>
    <definedName name="_VL200">#REF!</definedName>
    <definedName name="_VL250" localSheetId="7">#REF!</definedName>
    <definedName name="_VL250">#REF!</definedName>
    <definedName name="_VM2" localSheetId="2" hidden="1">{"'Sheet1'!$L$16"}</definedName>
    <definedName name="_VM2" localSheetId="5" hidden="1">{"'Sheet1'!$L$16"}</definedName>
    <definedName name="_VM2" hidden="1">{"'Sheet1'!$L$16"}</definedName>
    <definedName name="Á" localSheetId="7">#REF!</definedName>
    <definedName name="Á">#REF!</definedName>
    <definedName name="A." localSheetId="7">#REF!</definedName>
    <definedName name="A.">#REF!</definedName>
    <definedName name="a_" localSheetId="7">#REF!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7">#REF!</definedName>
    <definedName name="A120_">#REF!</definedName>
    <definedName name="A1Xc7" localSheetId="7">#REF!</definedName>
    <definedName name="A1Xc7">#REF!</definedName>
    <definedName name="a277Print_Titles" localSheetId="7">#REF!</definedName>
    <definedName name="a277Print_Titles">#REF!</definedName>
    <definedName name="A35_" localSheetId="7">#REF!</definedName>
    <definedName name="A35_">#REF!</definedName>
    <definedName name="A50_" localSheetId="7">#REF!</definedName>
    <definedName name="A50_">#REF!</definedName>
    <definedName name="A70_" localSheetId="7">#REF!</definedName>
    <definedName name="A70_">#REF!</definedName>
    <definedName name="A95_" localSheetId="7">#REF!</definedName>
    <definedName name="A95_">#REF!</definedName>
    <definedName name="AA" localSheetId="7">#REF!</definedName>
    <definedName name="AA">#REF!</definedName>
    <definedName name="AB" localSheetId="7">#REF!</definedName>
    <definedName name="AB">#REF!</definedName>
    <definedName name="abc" localSheetId="7">#REF!</definedName>
    <definedName name="abc">#REF!</definedName>
    <definedName name="AC120_" localSheetId="7">#REF!</definedName>
    <definedName name="AC120_">#REF!</definedName>
    <definedName name="AC35_" localSheetId="7">#REF!</definedName>
    <definedName name="AC35_">#REF!</definedName>
    <definedName name="AC50_" localSheetId="7">#REF!</definedName>
    <definedName name="AC50_">#REF!</definedName>
    <definedName name="AC70_" localSheetId="7">#REF!</definedName>
    <definedName name="AC70_">#REF!</definedName>
    <definedName name="AC95_" localSheetId="7">#REF!</definedName>
    <definedName name="AC95_">#REF!</definedName>
    <definedName name="AccessDatabase" hidden="1">"C:\My Documents\LeBinh\Xls\VP Cong ty\FORM.mdb"</definedName>
    <definedName name="AD">#N/A</definedName>
    <definedName name="ADADADD" localSheetId="2" hidden="1">{"'Sheet1'!$L$16"}</definedName>
    <definedName name="ADADADD" localSheetId="5" hidden="1">{"'Sheet1'!$L$16"}</definedName>
    <definedName name="ADADADD" hidden="1">{"'Sheet1'!$L$16"}</definedName>
    <definedName name="ADAY" localSheetId="7">#REF!</definedName>
    <definedName name="ADAY">#REF!</definedName>
    <definedName name="Address" localSheetId="7">#REF!</definedName>
    <definedName name="Address">#REF!</definedName>
    <definedName name="ADP">#REF!</definedName>
    <definedName name="Ag_" localSheetId="7">#REF!</definedName>
    <definedName name="Ag_">#REF!</definedName>
    <definedName name="ag15F80" localSheetId="7">#REF!</definedName>
    <definedName name="ag15F80">#REF!</definedName>
    <definedName name="aï160" localSheetId="7">#REF!</definedName>
    <definedName name="aï160">#REF!</definedName>
    <definedName name="AKHAC">#REF!</definedName>
    <definedName name="All_Item" localSheetId="7">#REF!</definedName>
    <definedName name="All_Item">#REF!</definedName>
    <definedName name="ALPIN">#N/A</definedName>
    <definedName name="ALPJYOU">#N/A</definedName>
    <definedName name="ALPTOI">#N/A</definedName>
    <definedName name="ALTINH">#REF!</definedName>
    <definedName name="am" localSheetId="7">#REF!</definedName>
    <definedName name="am">#REF!</definedName>
    <definedName name="ANDL" localSheetId="7">#REF!,#REF!,#REF!</definedName>
    <definedName name="ANDL">#REF!,#REF!,#REF!</definedName>
    <definedName name="ankhongin" localSheetId="7">#REF!,#REF!,#REF!,#REF!,#REF!</definedName>
    <definedName name="ankhongin">#REF!,#REF!,#REF!,#REF!,#REF!</definedName>
    <definedName name="ANN">#REF!</definedName>
    <definedName name="anpha" localSheetId="7">#REF!</definedName>
    <definedName name="anpha">#REF!</definedName>
    <definedName name="ANQD">#REF!</definedName>
    <definedName name="anscount" hidden="1">6</definedName>
    <definedName name="Angola_Against" localSheetId="7">#REF!,#REF!,#REF!</definedName>
    <definedName name="Angola_Against">#REF!,#REF!,#REF!</definedName>
    <definedName name="Angola_Played" localSheetId="7">#REF!,#REF!,#REF!</definedName>
    <definedName name="Angola_Played">#REF!,#REF!,#REF!</definedName>
    <definedName name="Ap" localSheetId="7">#REF!</definedName>
    <definedName name="Ap">#REF!</definedName>
    <definedName name="Argentina_Against" localSheetId="7">#REF!,#REF!,#REF!</definedName>
    <definedName name="Argentina_Against">#REF!,#REF!,#REF!</definedName>
    <definedName name="Argentina_Played" localSheetId="7">#REF!,#REF!,#REF!</definedName>
    <definedName name="Argentina_Played">#REF!,#REF!,#REF!</definedName>
    <definedName name="As_" localSheetId="7">#REF!</definedName>
    <definedName name="As_">#REF!</definedName>
    <definedName name="asega">{"Thuxm2.xls","Sheet1"}</definedName>
    <definedName name="ATGT" localSheetId="2" hidden="1">{"'Sheet1'!$L$16"}</definedName>
    <definedName name="ATGT" localSheetId="5" hidden="1">{"'Sheet1'!$L$16"}</definedName>
    <definedName name="ATGT" hidden="1">{"'Sheet1'!$L$16"}</definedName>
    <definedName name="ATW">#REF!</definedName>
    <definedName name="ATRAM" localSheetId="7">#REF!</definedName>
    <definedName name="ATRAM">#REF!</definedName>
    <definedName name="AÙ" localSheetId="7">#REF!</definedName>
    <definedName name="AÙ">#REF!</definedName>
    <definedName name="Australia_Against" localSheetId="7">#REF!,#REF!,#REF!</definedName>
    <definedName name="Australia_Against">#REF!,#REF!,#REF!</definedName>
    <definedName name="Australia_Played" localSheetId="7">#REF!,#REF!,#REF!</definedName>
    <definedName name="Australia_Played">#REF!,#REF!,#REF!</definedName>
    <definedName name="â" localSheetId="2" hidden="1">{"'Sheet1'!$L$16"}</definedName>
    <definedName name="â" localSheetId="5" hidden="1">{"'Sheet1'!$L$16"}</definedName>
    <definedName name="â" hidden="1">{"'Sheet1'!$L$16"}</definedName>
    <definedName name="âdf">{"Book5","sæ quü.xls","Dù to¸n x©y dùng nhµ s¶n xuÊt.xls","Than.xls","TiÕn ®é s¶n xuÊt - Th¸ng 9.xls"}</definedName>
    <definedName name="b" localSheetId="2" hidden="1">{"'Sheet1'!$L$16"}</definedName>
    <definedName name="b" localSheetId="5" hidden="1">{"'Sheet1'!$L$16"}</definedName>
    <definedName name="B.nuamat">7.25</definedName>
    <definedName name="B_Isc" localSheetId="7">#REF!</definedName>
    <definedName name="B_Isc">#REF!</definedName>
    <definedName name="B_tinh" localSheetId="7">#REF!</definedName>
    <definedName name="B_tinh">#REF!</definedName>
    <definedName name="b_tong" localSheetId="7">#REF!</definedName>
    <definedName name="b_tong">#REF!</definedName>
    <definedName name="b1_" localSheetId="7">#REF!</definedName>
    <definedName name="b1_">#REF!</definedName>
    <definedName name="b3_" localSheetId="7">#REF!</definedName>
    <definedName name="b3_">#REF!</definedName>
    <definedName name="b4_" localSheetId="7">#REF!</definedName>
    <definedName name="b4_">#REF!</definedName>
    <definedName name="Bãc_chi_tiÕt_vËt_tu_D35kv_Son_TÞnh_Tra_Bång" localSheetId="7">#REF!</definedName>
    <definedName name="Bãc_chi_tiÕt_vËt_tu_D35kv_Son_TÞnh_Tra_Bång">#REF!</definedName>
    <definedName name="Bãc_chi_tiÕt_vËt_tu_dît_1_thang_10_96" localSheetId="7">#REF!</definedName>
    <definedName name="Bãc_chi_tiÕt_vËt_tu_dît_1_thang_10_96">#REF!</definedName>
    <definedName name="BaiChay" localSheetId="7">#REF!</definedName>
    <definedName name="BaiChay">#REF!</definedName>
    <definedName name="ban" localSheetId="7">#REF!</definedName>
    <definedName name="ban">#REF!</definedName>
    <definedName name="Bang_cly" localSheetId="7">#REF!</definedName>
    <definedName name="Bang_cly">#REF!</definedName>
    <definedName name="Bang_CVC" localSheetId="7">#REF!</definedName>
    <definedName name="Bang_CVC">#REF!</definedName>
    <definedName name="BANG_CHI_TIET_THI_NGHIEM_CONG_TO" localSheetId="7">#REF!</definedName>
    <definedName name="BANG_CHI_TIET_THI_NGHIEM_CONG_TO">#REF!</definedName>
    <definedName name="BANG_CHI_TIET_THI_NGHIEM_DZ0.4KV" localSheetId="7">#REF!</definedName>
    <definedName name="BANG_CHI_TIET_THI_NGHIEM_DZ0.4KV">#REF!</definedName>
    <definedName name="bang_gia" localSheetId="7">#REF!</definedName>
    <definedName name="bang_gia">#REF!</definedName>
    <definedName name="Bang_ke_hoan_cong" localSheetId="7">#REF!</definedName>
    <definedName name="Bang_ke_hoan_cong">#REF!</definedName>
    <definedName name="BANG_TONG_HOP_CONG_TO" localSheetId="7">#REF!</definedName>
    <definedName name="BANG_TONG_HOP_CONG_TO">#REF!</definedName>
    <definedName name="BANG_TONG_HOP_DZ0.4KV" localSheetId="7">#REF!</definedName>
    <definedName name="BANG_TONG_HOP_DZ0.4KV">#REF!</definedName>
    <definedName name="BANG_TONG_HOP_DZ22KV" localSheetId="7">#REF!</definedName>
    <definedName name="BANG_TONG_HOP_DZ22KV">#REF!</definedName>
    <definedName name="BANG_TONG_HOP_KHO_BAI" localSheetId="7">#REF!</definedName>
    <definedName name="BANG_TONG_HOP_KHO_BAI">#REF!</definedName>
    <definedName name="BANG_TONG_HOP_TBA" localSheetId="7">#REF!</definedName>
    <definedName name="BANG_TONG_HOP_TBA">#REF!</definedName>
    <definedName name="BANG_TONG_HOP_VL_NC_MTC" localSheetId="7">#REF!</definedName>
    <definedName name="BANG_TONG_HOP_VL_NC_MTC">#REF!</definedName>
    <definedName name="Bang_tÝnh_1_Chuçi_nÐo" localSheetId="7">#REF!</definedName>
    <definedName name="Bang_tÝnh_1_Chuçi_nÐo">#REF!</definedName>
    <definedName name="Bang_travl" localSheetId="7">#REF!</definedName>
    <definedName name="Bang_travl">#REF!</definedName>
    <definedName name="bang1" localSheetId="7">#REF!</definedName>
    <definedName name="bang1">#REF!</definedName>
    <definedName name="bang2" localSheetId="7">#REF!</definedName>
    <definedName name="bang2">#REF!</definedName>
    <definedName name="bang3" localSheetId="7">#REF!</definedName>
    <definedName name="bang3">#REF!</definedName>
    <definedName name="bang4" localSheetId="7">#REF!</definedName>
    <definedName name="bang4">#REF!</definedName>
    <definedName name="bang5" localSheetId="7">#REF!</definedName>
    <definedName name="bang5">#REF!</definedName>
    <definedName name="bang6" localSheetId="7">#REF!</definedName>
    <definedName name="bang6">#REF!</definedName>
    <definedName name="bangchu" localSheetId="7">#REF!</definedName>
    <definedName name="bangchu">#REF!</definedName>
    <definedName name="bangtinh" localSheetId="7">#REF!</definedName>
    <definedName name="bangtinh">#REF!</definedName>
    <definedName name="Baocao_th" localSheetId="7">#REF!</definedName>
    <definedName name="Baocao_th">#REF!</definedName>
    <definedName name="BarData" localSheetId="7">#REF!</definedName>
    <definedName name="BarData">#REF!</definedName>
    <definedName name="BB" localSheetId="7">#REF!</definedName>
    <definedName name="BB">#REF!</definedName>
    <definedName name="BC" localSheetId="7">#REF!</definedName>
    <definedName name="BC">#REF!</definedName>
    <definedName name="Bcao_chung" localSheetId="7">#REF!</definedName>
    <definedName name="Bcao_chung">#REF!</definedName>
    <definedName name="BD8.98" localSheetId="7">#REF!</definedName>
    <definedName name="BD8.98">#REF!</definedName>
    <definedName name="BDAY" localSheetId="7">#REF!</definedName>
    <definedName name="BDAY">#REF!</definedName>
    <definedName name="bdd">1.5</definedName>
    <definedName name="beepsound" localSheetId="7">#REF!</definedName>
    <definedName name="beepsound">#REF!</definedName>
    <definedName name="begin" localSheetId="7">#REF!</definedName>
    <definedName name="begin">#REF!</definedName>
    <definedName name="benuoc" localSheetId="7">#REF!</definedName>
    <definedName name="benuoc">#REF!</definedName>
    <definedName name="bengam" localSheetId="7">#REF!</definedName>
    <definedName name="bengam">#REF!</definedName>
    <definedName name="beta" localSheetId="7">#REF!</definedName>
    <definedName name="beta">#REF!</definedName>
    <definedName name="Bezugsfeld" localSheetId="7">#REF!</definedName>
    <definedName name="Bezugsfeld">#REF!</definedName>
    <definedName name="Bia" localSheetId="7">#REF!</definedName>
    <definedName name="Bia">#REF!</definedName>
    <definedName name="BIENDONG" localSheetId="7">#REF!</definedName>
    <definedName name="BIENDONG">#REF!</definedName>
    <definedName name="BINHTHANH1" localSheetId="7">#REF!</definedName>
    <definedName name="BINHTHANH1">#REF!</definedName>
    <definedName name="BINHTHANH2" localSheetId="7">#REF!</definedName>
    <definedName name="BINHTHANH2">#REF!</definedName>
    <definedName name="blang" localSheetId="7">#REF!</definedName>
    <definedName name="blang">#REF!</definedName>
    <definedName name="blcanbo" localSheetId="7">#REF!</definedName>
    <definedName name="blcanbo">#REF!</definedName>
    <definedName name="blhdong" localSheetId="7">#REF!</definedName>
    <definedName name="blhdong">#REF!</definedName>
    <definedName name="blkh" localSheetId="7">#REF!</definedName>
    <definedName name="blkh">#REF!</definedName>
    <definedName name="blkh1" localSheetId="7">#REF!</definedName>
    <definedName name="blkh1">#REF!</definedName>
    <definedName name="BLOCK1" localSheetId="7">#REF!</definedName>
    <definedName name="BLOCK1">#REF!</definedName>
    <definedName name="BLOCK2" localSheetId="7">#REF!</definedName>
    <definedName name="BLOCK2">#REF!</definedName>
    <definedName name="BLOCK3" localSheetId="7">#REF!</definedName>
    <definedName name="BLOCK3">#REF!</definedName>
    <definedName name="blong" localSheetId="7">#REF!</definedName>
    <definedName name="blong">#REF!</definedName>
    <definedName name="BLUONG" localSheetId="7">#REF!</definedName>
    <definedName name="BLUONG">#REF!</definedName>
    <definedName name="bm" localSheetId="7">#REF!</definedName>
    <definedName name="bm">#REF!</definedName>
    <definedName name="BMONG2" localSheetId="7">#REF!</definedName>
    <definedName name="BMONG2">#REF!</definedName>
    <definedName name="BMONG3" localSheetId="7">#REF!</definedName>
    <definedName name="BMONG3">#REF!</definedName>
    <definedName name="bnbnbn" localSheetId="7">#REF!</definedName>
    <definedName name="bnbnbn">#REF!</definedName>
    <definedName name="bocdo" localSheetId="7">#REF!</definedName>
    <definedName name="bocdo">#REF!</definedName>
    <definedName name="BOQ" localSheetId="7">#REF!</definedName>
    <definedName name="BOQ">#REF!</definedName>
    <definedName name="Botanical2" localSheetId="7">#REF!</definedName>
    <definedName name="Botanical2">#REF!</definedName>
    <definedName name="Botanical2.Jun" localSheetId="7">#REF!</definedName>
    <definedName name="Botanical2.Jun">#REF!</definedName>
    <definedName name="BOTRO_Q" localSheetId="7">#REF!</definedName>
    <definedName name="BOTRO_Q">#REF!</definedName>
    <definedName name="BOTRO_W" localSheetId="7">#REF!</definedName>
    <definedName name="BOTRO_W">#REF!</definedName>
    <definedName name="BQLDATBTA" localSheetId="7">#REF!</definedName>
    <definedName name="BQLDATBTA">#REF!</definedName>
    <definedName name="BQLDAXLT" localSheetId="7">#REF!</definedName>
    <definedName name="BQLDAXLT">#REF!</definedName>
    <definedName name="Brazil_Against" localSheetId="7">#REF!,#REF!,#REF!</definedName>
    <definedName name="Brazil_Against">#REF!,#REF!,#REF!</definedName>
    <definedName name="Brazil_Played" localSheetId="7">#REF!,#REF!,#REF!</definedName>
    <definedName name="Brazil_Played">#REF!,#REF!,#REF!</definedName>
    <definedName name="bson" localSheetId="7">#REF!</definedName>
    <definedName name="bson">#REF!</definedName>
    <definedName name="BT" localSheetId="7">#REF!</definedName>
    <definedName name="BT">#REF!</definedName>
    <definedName name="btcocM400" localSheetId="7">#REF!</definedName>
    <definedName name="btcocM400">#REF!</definedName>
    <definedName name="btchiuaxitm300" localSheetId="7">#REF!</definedName>
    <definedName name="btchiuaxitm300">#REF!</definedName>
    <definedName name="BTchiuaxm200" localSheetId="7">#REF!</definedName>
    <definedName name="BTchiuaxm200">#REF!</definedName>
    <definedName name="BTlotm100" localSheetId="7">#REF!</definedName>
    <definedName name="BTlotm100">#REF!</definedName>
    <definedName name="btnm3" localSheetId="2" hidden="1">{"'Sheet1'!$L$16"}</definedName>
    <definedName name="btnm3" localSheetId="5" hidden="1">{"'Sheet1'!$L$16"}</definedName>
    <definedName name="btnm3" hidden="1">{"'Sheet1'!$L$16"}</definedName>
    <definedName name="btham" localSheetId="7">#REF!</definedName>
    <definedName name="btham">#REF!</definedName>
    <definedName name="BTRAM" localSheetId="7">#REF!</definedName>
    <definedName name="BTRAM">#REF!</definedName>
    <definedName name="BU_CHENH_LECH_DZ0.4KV" localSheetId="7">#REF!</definedName>
    <definedName name="BU_CHENH_LECH_DZ0.4KV">#REF!</definedName>
    <definedName name="BU_CHENH_LECH_DZ22KV" localSheetId="7">#REF!</definedName>
    <definedName name="BU_CHENH_LECH_DZ22KV">#REF!</definedName>
    <definedName name="BU_CHENH_LECH_TBA" localSheetId="7">#REF!</definedName>
    <definedName name="BU_CHENH_LECH_TBA">#REF!</definedName>
    <definedName name="Bulongma">8700</definedName>
    <definedName name="buoc" localSheetId="7">#REF!</definedName>
    <definedName name="buoc">#REF!</definedName>
    <definedName name="BVCISUMMARY" localSheetId="7">#REF!</definedName>
    <definedName name="BVCISUMMARY">#REF!</definedName>
    <definedName name="BVT" localSheetId="7">#REF!</definedName>
    <definedName name="BVT">#REF!</definedName>
    <definedName name="C." localSheetId="7">#REF!</definedName>
    <definedName name="C.">#REF!</definedName>
    <definedName name="C.1.1..Phat_tuyen" localSheetId="7">#REF!</definedName>
    <definedName name="C.1.1..Phat_tuyen">#REF!</definedName>
    <definedName name="C.1.10..VC_Thu_cong_CG" localSheetId="7">#REF!</definedName>
    <definedName name="C.1.10..VC_Thu_cong_CG">#REF!</definedName>
    <definedName name="C.1.2..Chat_cay_thu_cong" localSheetId="7">#REF!</definedName>
    <definedName name="C.1.2..Chat_cay_thu_cong">#REF!</definedName>
    <definedName name="C.1.3..Chat_cay_may" localSheetId="7">#REF!</definedName>
    <definedName name="C.1.3..Chat_cay_may">#REF!</definedName>
    <definedName name="C.1.4..Dao_goc_cay" localSheetId="7">#REF!</definedName>
    <definedName name="C.1.4..Dao_goc_cay">#REF!</definedName>
    <definedName name="C.1.5..Lam_duong_tam" localSheetId="7">#REF!</definedName>
    <definedName name="C.1.5..Lam_duong_tam">#REF!</definedName>
    <definedName name="C.1.6..Lam_cau_tam" localSheetId="7">#REF!</definedName>
    <definedName name="C.1.6..Lam_cau_tam">#REF!</definedName>
    <definedName name="C.1.7..Rai_da_chong_lun" localSheetId="7">#REF!</definedName>
    <definedName name="C.1.7..Rai_da_chong_lun">#REF!</definedName>
    <definedName name="C.1.8..Lam_kho_tam" localSheetId="7">#REF!</definedName>
    <definedName name="C.1.8..Lam_kho_tam">#REF!</definedName>
    <definedName name="C.1.8..San_mat_bang" localSheetId="7">#REF!</definedName>
    <definedName name="C.1.8..San_mat_bang">#REF!</definedName>
    <definedName name="C.2.1..VC_Thu_cong" localSheetId="7">#REF!</definedName>
    <definedName name="C.2.1..VC_Thu_cong">#REF!</definedName>
    <definedName name="C.2.2..VC_T_cong_CG" localSheetId="7">#REF!</definedName>
    <definedName name="C.2.2..VC_T_cong_CG">#REF!</definedName>
    <definedName name="C.2.3..Boc_do" localSheetId="7">#REF!</definedName>
    <definedName name="C.2.3..Boc_do">#REF!</definedName>
    <definedName name="C.3.1..Dao_dat_mong_cot" localSheetId="7">#REF!</definedName>
    <definedName name="C.3.1..Dao_dat_mong_cot">#REF!</definedName>
    <definedName name="C.3.2..Dao_dat_de_dap" localSheetId="7">#REF!</definedName>
    <definedName name="C.3.2..Dao_dat_de_dap">#REF!</definedName>
    <definedName name="C.3.3..Dap_dat_mong" localSheetId="7">#REF!</definedName>
    <definedName name="C.3.3..Dap_dat_mong">#REF!</definedName>
    <definedName name="C.3.4..Dao_dap_TDia" localSheetId="7">#REF!</definedName>
    <definedName name="C.3.4..Dao_dap_TDia">#REF!</definedName>
    <definedName name="C.3.5..Dap_bo_bao" localSheetId="7">#REF!</definedName>
    <definedName name="C.3.5..Dap_bo_bao">#REF!</definedName>
    <definedName name="C.3.6..Bom_tat_nuoc" localSheetId="7">#REF!</definedName>
    <definedName name="C.3.6..Bom_tat_nuoc">#REF!</definedName>
    <definedName name="C.3.7..Dao_bun" localSheetId="7">#REF!</definedName>
    <definedName name="C.3.7..Dao_bun">#REF!</definedName>
    <definedName name="C.3.8..Dap_cat_CT" localSheetId="7">#REF!</definedName>
    <definedName name="C.3.8..Dap_cat_CT">#REF!</definedName>
    <definedName name="C.3.9..Dao_pha_da" localSheetId="7">#REF!</definedName>
    <definedName name="C.3.9..Dao_pha_da">#REF!</definedName>
    <definedName name="C.4.1.Cot_thep" localSheetId="7">#REF!</definedName>
    <definedName name="C.4.1.Cot_thep">#REF!</definedName>
    <definedName name="C.4.2..Van_khuon" localSheetId="7">#REF!</definedName>
    <definedName name="C.4.2..Van_khuon">#REF!</definedName>
    <definedName name="C.4.3..Be_tong" localSheetId="7">#REF!</definedName>
    <definedName name="C.4.3..Be_tong">#REF!</definedName>
    <definedName name="C.4.4..Lap_BT_D.San" localSheetId="7">#REF!</definedName>
    <definedName name="C.4.4..Lap_BT_D.San">#REF!</definedName>
    <definedName name="C.4.5..Xay_da_hoc" localSheetId="7">#REF!</definedName>
    <definedName name="C.4.5..Xay_da_hoc">#REF!</definedName>
    <definedName name="C.4.6..Dong_coc" localSheetId="7">#REF!</definedName>
    <definedName name="C.4.6..Dong_coc">#REF!</definedName>
    <definedName name="C.4.7..Quet_Bi_tum" localSheetId="7">#REF!</definedName>
    <definedName name="C.4.7..Quet_Bi_tum">#REF!</definedName>
    <definedName name="C.5.1..Lap_cot_thep" localSheetId="7">#REF!</definedName>
    <definedName name="C.5.1..Lap_cot_thep">#REF!</definedName>
    <definedName name="C.5.2..Lap_cot_BT" localSheetId="7">#REF!</definedName>
    <definedName name="C.5.2..Lap_cot_BT">#REF!</definedName>
    <definedName name="C.5.3..Lap_dat_xa" localSheetId="7">#REF!</definedName>
    <definedName name="C.5.3..Lap_dat_xa">#REF!</definedName>
    <definedName name="C.5.4..Lap_tiep_dia" localSheetId="7">#REF!</definedName>
    <definedName name="C.5.4..Lap_tiep_dia">#REF!</definedName>
    <definedName name="C.5.5..Son_sat_thep" localSheetId="7">#REF!</definedName>
    <definedName name="C.5.5..Son_sat_thep">#REF!</definedName>
    <definedName name="C.6.1..Lap_su_dung" localSheetId="7">#REF!</definedName>
    <definedName name="C.6.1..Lap_su_dung">#REF!</definedName>
    <definedName name="C.6.2..Lap_su_CS" localSheetId="7">#REF!</definedName>
    <definedName name="C.6.2..Lap_su_CS">#REF!</definedName>
    <definedName name="C.6.3..Su_chuoi_do" localSheetId="7">#REF!</definedName>
    <definedName name="C.6.3..Su_chuoi_do">#REF!</definedName>
    <definedName name="C.6.4..Su_chuoi_neo" localSheetId="7">#REF!</definedName>
    <definedName name="C.6.4..Su_chuoi_neo">#REF!</definedName>
    <definedName name="C.6.5..Lap_phu_kien" localSheetId="7">#REF!</definedName>
    <definedName name="C.6.5..Lap_phu_kien">#REF!</definedName>
    <definedName name="C.6.6..Ep_noi_day" localSheetId="7">#REF!</definedName>
    <definedName name="C.6.6..Ep_noi_day">#REF!</definedName>
    <definedName name="C.6.7..KD_vuot_CN" localSheetId="7">#REF!</definedName>
    <definedName name="C.6.7..KD_vuot_CN">#REF!</definedName>
    <definedName name="C.6.8..Rai_cang_day" localSheetId="7">#REF!</definedName>
    <definedName name="C.6.8..Rai_cang_day">#REF!</definedName>
    <definedName name="C.6.9..Cap_quang" localSheetId="7">#REF!</definedName>
    <definedName name="C.6.9..Cap_quang">#REF!</definedName>
    <definedName name="C.doc1">540</definedName>
    <definedName name="C.doc2">740</definedName>
    <definedName name="C2.7" localSheetId="7">#REF!</definedName>
    <definedName name="C2.7">#REF!</definedName>
    <definedName name="C3.0" localSheetId="7">#REF!</definedName>
    <definedName name="C3.0">#REF!</definedName>
    <definedName name="C3.5" localSheetId="7">#REF!</definedName>
    <definedName name="C3.5">#REF!</definedName>
    <definedName name="C3.7" localSheetId="7">#REF!</definedName>
    <definedName name="C3.7">#REF!</definedName>
    <definedName name="C4.0" localSheetId="7">#REF!</definedName>
    <definedName name="C4.0">#REF!</definedName>
    <definedName name="CACAU">298161</definedName>
    <definedName name="Can_doi">#REF!</definedName>
    <definedName name="cao" localSheetId="7">#REF!</definedName>
    <definedName name="cao">#REF!</definedName>
    <definedName name="cap" localSheetId="7">#REF!</definedName>
    <definedName name="cap">#REF!</definedName>
    <definedName name="cap0.7" localSheetId="7">#REF!</definedName>
    <definedName name="cap0.7">#REF!</definedName>
    <definedName name="Cat" localSheetId="7">#REF!</definedName>
    <definedName name="Cat">#REF!</definedName>
    <definedName name="Category_All" localSheetId="7">#REF!</definedName>
    <definedName name="Category_All">#REF!</definedName>
    <definedName name="CATIN">#N/A</definedName>
    <definedName name="CATJYOU">#N/A</definedName>
    <definedName name="catmin" localSheetId="7">#REF!</definedName>
    <definedName name="catmin">#REF!</definedName>
    <definedName name="CATSYU">#N/A</definedName>
    <definedName name="CATREC">#N/A</definedName>
    <definedName name="CauQL1GD2" localSheetId="7">#REF!</definedName>
    <definedName name="CauQL1GD2">#REF!</definedName>
    <definedName name="CauQL1GD3" localSheetId="7">#REF!</definedName>
    <definedName name="CauQL1GD3">#REF!</definedName>
    <definedName name="Cb" localSheetId="7">#REF!</definedName>
    <definedName name="Cb">#REF!</definedName>
    <definedName name="CCS" localSheetId="7">#REF!</definedName>
    <definedName name="CCS">#REF!</definedName>
    <definedName name="CDAY" localSheetId="7">#REF!</definedName>
    <definedName name="CDAY">#REF!</definedName>
    <definedName name="CDCDZ22" localSheetId="7">#REF!</definedName>
    <definedName name="CDCDZ22">#REF!</definedName>
    <definedName name="CDD" localSheetId="7">#REF!</definedName>
    <definedName name="CDD">#REF!</definedName>
    <definedName name="CDDD1PHA" localSheetId="7">#REF!</definedName>
    <definedName name="CDDD1PHA">#REF!</definedName>
    <definedName name="CDDD3PHA" localSheetId="7">#REF!</definedName>
    <definedName name="CDDD3PHA">#REF!</definedName>
    <definedName name="CDEDZ04" localSheetId="7">#REF!</definedName>
    <definedName name="CDEDZ04">#REF!</definedName>
    <definedName name="CDEDZ22" localSheetId="7">#REF!</definedName>
    <definedName name="CDEDZ22">#REF!</definedName>
    <definedName name="cdn" localSheetId="7">#REF!</definedName>
    <definedName name="cdn">#REF!</definedName>
    <definedName name="Cdnum" localSheetId="7">#REF!</definedName>
    <definedName name="Cdnum">#REF!</definedName>
    <definedName name="Cdo_8bat" localSheetId="7">#REF!</definedName>
    <definedName name="Cdo_8bat">#REF!</definedName>
    <definedName name="Cdo_TK50" localSheetId="7">#REF!</definedName>
    <definedName name="Cdo_TK50">#REF!</definedName>
    <definedName name="CDTK_tim">31.77</definedName>
    <definedName name="cf" localSheetId="7">BlankMacro1</definedName>
    <definedName name="cf">BlankMacro1</definedName>
    <definedName name="cfk" localSheetId="7">#REF!</definedName>
    <definedName name="cfk">#REF!</definedName>
    <definedName name="City" localSheetId="7">#REF!</definedName>
    <definedName name="City">#REF!</definedName>
    <definedName name="CK" localSheetId="7">#REF!</definedName>
    <definedName name="CK">#REF!</definedName>
    <definedName name="CL" localSheetId="7">#REF!</definedName>
    <definedName name="CL">#REF!</definedName>
    <definedName name="CLVC3">0.1</definedName>
    <definedName name="CLVC35" localSheetId="7">#REF!</definedName>
    <definedName name="CLVC35">#REF!</definedName>
    <definedName name="clvcdd" localSheetId="7">#REF!</definedName>
    <definedName name="clvcdd">#REF!</definedName>
    <definedName name="CLVCTB" localSheetId="7">#REF!</definedName>
    <definedName name="CLVCTB">#REF!</definedName>
    <definedName name="clvctc" localSheetId="7">#REF!</definedName>
    <definedName name="clvctc">#REF!</definedName>
    <definedName name="CLVL" localSheetId="7">#REF!</definedName>
    <definedName name="CLVL">#REF!</definedName>
    <definedName name="CN_RC1" localSheetId="7">#REF!</definedName>
    <definedName name="CN_RC1">#REF!</definedName>
    <definedName name="CN_RC2" localSheetId="7">#REF!</definedName>
    <definedName name="CN_RC2">#REF!</definedName>
    <definedName name="CN_Rnha" localSheetId="7">#REF!</definedName>
    <definedName name="CN_Rnha">#REF!</definedName>
    <definedName name="CN_Rs" localSheetId="7">#REF!</definedName>
    <definedName name="CN_Rs">#REF!</definedName>
    <definedName name="Cneo_8bat" localSheetId="7">#REF!</definedName>
    <definedName name="Cneo_8bat">#REF!</definedName>
    <definedName name="Cneo_TK50" localSheetId="7">#REF!</definedName>
    <definedName name="Cneo_TK50">#REF!</definedName>
    <definedName name="Co" localSheetId="7">#REF!</definedName>
    <definedName name="Co">#REF!</definedName>
    <definedName name="Coc_60" localSheetId="2" hidden="1">{"'Sheet1'!$L$16"}</definedName>
    <definedName name="Coc_60" localSheetId="5" hidden="1">{"'Sheet1'!$L$16"}</definedName>
    <definedName name="Coc_60" hidden="1">{"'Sheet1'!$L$16"}</definedName>
    <definedName name="cocbtct" localSheetId="7">#REF!</definedName>
    <definedName name="cocbtct">#REF!</definedName>
    <definedName name="cocot" localSheetId="7">#REF!</definedName>
    <definedName name="cocot">#REF!</definedName>
    <definedName name="cocott" localSheetId="7">#REF!</definedName>
    <definedName name="cocott">#REF!</definedName>
    <definedName name="CODC" localSheetId="7">#REF!</definedName>
    <definedName name="CODC">#REF!</definedName>
    <definedName name="Code" localSheetId="2" hidden="1">#REF!</definedName>
    <definedName name="Code" localSheetId="5" hidden="1">#REF!</definedName>
    <definedName name="Code" localSheetId="7" hidden="1">#REF!</definedName>
    <definedName name="Code" hidden="1">#REF!</definedName>
    <definedName name="Cöï_ly_vaän_chuyeãn" localSheetId="7">#REF!</definedName>
    <definedName name="Cöï_ly_vaän_chuyeãn">#REF!</definedName>
    <definedName name="CÖÏ_LY_VAÄN_CHUYEÅN" localSheetId="7">#REF!</definedName>
    <definedName name="CÖÏ_LY_VAÄN_CHUYEÅN">#REF!</definedName>
    <definedName name="coket" localSheetId="7">#REF!</definedName>
    <definedName name="coket">#REF!</definedName>
    <definedName name="Comm" localSheetId="14">BlankMacro1</definedName>
    <definedName name="Comm" localSheetId="3">BlankMacro1</definedName>
    <definedName name="Comm" localSheetId="2">BlankMacro1</definedName>
    <definedName name="Comm" localSheetId="5">BlankMacro1</definedName>
    <definedName name="Comm" localSheetId="7">BlankMacro1</definedName>
    <definedName name="Comm" localSheetId="13">BlankMacro1</definedName>
    <definedName name="Comm">BlankMacro1</definedName>
    <definedName name="COMMON" localSheetId="7">#REF!</definedName>
    <definedName name="COMMON">#REF!</definedName>
    <definedName name="comong" localSheetId="7">#REF!</definedName>
    <definedName name="comong">#REF!</definedName>
    <definedName name="Company" localSheetId="7">#REF!</definedName>
    <definedName name="Company">#REF!</definedName>
    <definedName name="CON_EQP_COS" localSheetId="7">#REF!</definedName>
    <definedName name="CON_EQP_COS">#REF!</definedName>
    <definedName name="CON_EQP_COST" localSheetId="7">#REF!</definedName>
    <definedName name="CON_EQP_COST">#REF!</definedName>
    <definedName name="CONST_EQ" localSheetId="7">#REF!</definedName>
    <definedName name="CONST_EQ">#REF!</definedName>
    <definedName name="Content1" localSheetId="7">ErrorHandler_1</definedName>
    <definedName name="Content1">ErrorHandler_1</definedName>
    <definedName name="continue1" localSheetId="7">#REF!</definedName>
    <definedName name="continue1">#REF!</definedName>
    <definedName name="Cong_HM_DTCT" localSheetId="7">#REF!</definedName>
    <definedName name="Cong_HM_DTCT">#REF!</definedName>
    <definedName name="Cong_M_DTCT" localSheetId="7">#REF!</definedName>
    <definedName name="Cong_M_DTCT">#REF!</definedName>
    <definedName name="Cong_NC_DTCT" localSheetId="7">#REF!</definedName>
    <definedName name="Cong_NC_DTCT">#REF!</definedName>
    <definedName name="Cong_tac_dao_dat" localSheetId="7">#REF!</definedName>
    <definedName name="Cong_tac_dao_dat">#REF!</definedName>
    <definedName name="Cong_tac_do_be_tong" localSheetId="7">#REF!</definedName>
    <definedName name="Cong_tac_do_be_tong">#REF!</definedName>
    <definedName name="Cong_tac_dung_cot_BTLT_thu_cong" localSheetId="7">#REF!</definedName>
    <definedName name="Cong_tac_dung_cot_BTLT_thu_cong">#REF!</definedName>
    <definedName name="Cong_tac_gia_cong_cot_thep" localSheetId="7">#REF!</definedName>
    <definedName name="Cong_tac_gia_cong_cot_thep">#REF!</definedName>
    <definedName name="Cong_tac_lam_gian_giao_vuot_DZTT" localSheetId="7">#REF!</definedName>
    <definedName name="Cong_tac_lam_gian_giao_vuot_DZTT">#REF!</definedName>
    <definedName name="Cong_tac_lap_dat_mong_tiepdia" localSheetId="7">#REF!</definedName>
    <definedName name="Cong_tac_lap_dat_mong_tiepdia">#REF!</definedName>
    <definedName name="Cong_tac_lap_dat_xa_thep" localSheetId="7">#REF!</definedName>
    <definedName name="Cong_tac_lap_dat_xa_thep">#REF!</definedName>
    <definedName name="Cong_VL_DTCT" localSheetId="7">#REF!</definedName>
    <definedName name="Cong_VL_DTCT">#REF!</definedName>
    <definedName name="congbenuoc" localSheetId="7">#REF!</definedName>
    <definedName name="congbenuoc">#REF!</definedName>
    <definedName name="congbengam" localSheetId="7">#REF!</definedName>
    <definedName name="congbengam">#REF!</definedName>
    <definedName name="congcoc" localSheetId="7">#REF!</definedName>
    <definedName name="congcoc">#REF!</definedName>
    <definedName name="congcocot" localSheetId="7">#REF!</definedName>
    <definedName name="congcocot">#REF!</definedName>
    <definedName name="congcocott" localSheetId="7">#REF!</definedName>
    <definedName name="congcocott">#REF!</definedName>
    <definedName name="congcomong" localSheetId="7">#REF!</definedName>
    <definedName name="congcomong">#REF!</definedName>
    <definedName name="congcottron" localSheetId="7">#REF!</definedName>
    <definedName name="congcottron">#REF!</definedName>
    <definedName name="congcotvuong" localSheetId="7">#REF!</definedName>
    <definedName name="congcotvuong">#REF!</definedName>
    <definedName name="congdam" localSheetId="7">#REF!</definedName>
    <definedName name="congdam">#REF!</definedName>
    <definedName name="congdan1" localSheetId="7">#REF!</definedName>
    <definedName name="congdan1">#REF!</definedName>
    <definedName name="congdan2" localSheetId="7">#REF!</definedName>
    <definedName name="congdan2">#REF!</definedName>
    <definedName name="congdandusan" localSheetId="7">#REF!</definedName>
    <definedName name="congdandusan">#REF!</definedName>
    <definedName name="conglanhto" localSheetId="7">#REF!</definedName>
    <definedName name="conglanhto">#REF!</definedName>
    <definedName name="CongMaHieu" localSheetId="7">#REF!</definedName>
    <definedName name="CongMaHieu">#REF!</definedName>
    <definedName name="congmong" localSheetId="7">#REF!</definedName>
    <definedName name="congmong">#REF!</definedName>
    <definedName name="congmongbang" localSheetId="7">#REF!</definedName>
    <definedName name="congmongbang">#REF!</definedName>
    <definedName name="congmongdon" localSheetId="7">#REF!</definedName>
    <definedName name="congmongdon">#REF!</definedName>
    <definedName name="congnhat" localSheetId="7">#REF!</definedName>
    <definedName name="congnhat">#REF!</definedName>
    <definedName name="congpanen" localSheetId="7">#REF!</definedName>
    <definedName name="congpanen">#REF!</definedName>
    <definedName name="congsan" localSheetId="7">#REF!</definedName>
    <definedName name="congsan">#REF!</definedName>
    <definedName name="congthang" localSheetId="7">#REF!</definedName>
    <definedName name="congthang">#REF!</definedName>
    <definedName name="CongVattu" localSheetId="7">#REF!</definedName>
    <definedName name="CongVattu">#REF!</definedName>
    <definedName name="Costa_Against" localSheetId="7">#REF!,#REF!,#REF!</definedName>
    <definedName name="Costa_Against">#REF!,#REF!,#REF!</definedName>
    <definedName name="Costa_Played" localSheetId="7">#REF!,#REF!,#REF!</definedName>
    <definedName name="Costa_Played">#REF!,#REF!,#REF!</definedName>
    <definedName name="COT_HA" localSheetId="7">#REF!</definedName>
    <definedName name="COT_HA">#REF!</definedName>
    <definedName name="COT_TA" localSheetId="7">#REF!</definedName>
    <definedName name="COT_TA">#REF!</definedName>
    <definedName name="COT10DZ22" localSheetId="7">#REF!</definedName>
    <definedName name="COT10DZ22">#REF!</definedName>
    <definedName name="COT12DZ22" localSheetId="7">#REF!</definedName>
    <definedName name="COT12DZ22">#REF!</definedName>
    <definedName name="COT14DZ22" localSheetId="7">#REF!</definedName>
    <definedName name="COT14DZ22">#REF!</definedName>
    <definedName name="COT20DZ22" localSheetId="7">#REF!</definedName>
    <definedName name="COT20DZ22">#REF!</definedName>
    <definedName name="cotma" localSheetId="7">#REF!</definedName>
    <definedName name="cotma">#REF!</definedName>
    <definedName name="COTPYLONEDZ04" localSheetId="7">#REF!</definedName>
    <definedName name="COTPYLONEDZ04">#REF!</definedName>
    <definedName name="Cotsatma">9726</definedName>
    <definedName name="COTTHEP10DZ22" localSheetId="7">#REF!</definedName>
    <definedName name="COTTHEP10DZ22">#REF!</definedName>
    <definedName name="COTTHEP12DZ22" localSheetId="7">#REF!</definedName>
    <definedName name="COTTHEP12DZ22">#REF!</definedName>
    <definedName name="COTTHEP9DZ22" localSheetId="7">#REF!</definedName>
    <definedName name="COTTHEP9DZ22">#REF!</definedName>
    <definedName name="Cotthepma">9726</definedName>
    <definedName name="cottron" localSheetId="7">#REF!</definedName>
    <definedName name="cottron">#REF!</definedName>
    <definedName name="cotvuong" localSheetId="7">#REF!</definedName>
    <definedName name="cotvuong">#REF!</definedName>
    <definedName name="COTVUONGDZ04" localSheetId="7">#REF!</definedName>
    <definedName name="COTVUONGDZ04">#REF!</definedName>
    <definedName name="Country" localSheetId="7">#REF!</definedName>
    <definedName name="Country">#REF!</definedName>
    <definedName name="COVER" localSheetId="7">#REF!</definedName>
    <definedName name="COVER">#REF!</definedName>
    <definedName name="CPC" localSheetId="7">#REF!</definedName>
    <definedName name="CPC">#REF!</definedName>
    <definedName name="cpdd1" localSheetId="7">#REF!</definedName>
    <definedName name="cpdd1">#REF!</definedName>
    <definedName name="CPK" localSheetId="7">#REF!</definedName>
    <definedName name="CPK">#REF!</definedName>
    <definedName name="CPKDP" localSheetId="7">#REF!</definedName>
    <definedName name="CPKDP">#REF!</definedName>
    <definedName name="CPKTW" localSheetId="7">#REF!</definedName>
    <definedName name="CPKTW">#REF!</definedName>
    <definedName name="cpqlct" localSheetId="7">#REF!</definedName>
    <definedName name="cpqlct">#REF!</definedName>
    <definedName name="CPQLDA" localSheetId="7">#REF!</definedName>
    <definedName name="CPQLDA">#REF!</definedName>
    <definedName name="CPT" localSheetId="7">#REF!</definedName>
    <definedName name="CPT">#REF!</definedName>
    <definedName name="cptkdp" localSheetId="7">#REF!</definedName>
    <definedName name="cptkdp">#REF!</definedName>
    <definedName name="CPVC100" localSheetId="7">#REF!</definedName>
    <definedName name="CPVC100">#REF!</definedName>
    <definedName name="CPVC35" localSheetId="7">#REF!</definedName>
    <definedName name="CPVC35">#REF!</definedName>
    <definedName name="CRD" localSheetId="7">#REF!</definedName>
    <definedName name="CRD">#REF!</definedName>
    <definedName name="CRITINST" localSheetId="7">#REF!</definedName>
    <definedName name="CRITINST">#REF!</definedName>
    <definedName name="CRITPURC" localSheetId="7">#REF!</definedName>
    <definedName name="CRITPURC">#REF!</definedName>
    <definedName name="Croatia_Against" localSheetId="7">#REF!,#REF!,#REF!</definedName>
    <definedName name="Croatia_Against">#REF!,#REF!,#REF!</definedName>
    <definedName name="Croatia_Played" localSheetId="7">#REF!,#REF!,#REF!</definedName>
    <definedName name="Croatia_Played">#REF!,#REF!,#REF!</definedName>
    <definedName name="CRS" localSheetId="7">#REF!</definedName>
    <definedName name="CRS">#REF!</definedName>
    <definedName name="CS" localSheetId="7">#REF!</definedName>
    <definedName name="CS">#REF!</definedName>
    <definedName name="CS_10" localSheetId="7">#REF!</definedName>
    <definedName name="CS_10">#REF!</definedName>
    <definedName name="CS_100" localSheetId="7">#REF!</definedName>
    <definedName name="CS_100">#REF!</definedName>
    <definedName name="CS_10S" localSheetId="7">#REF!</definedName>
    <definedName name="CS_10S">#REF!</definedName>
    <definedName name="CS_120" localSheetId="7">#REF!</definedName>
    <definedName name="CS_120">#REF!</definedName>
    <definedName name="CS_140" localSheetId="7">#REF!</definedName>
    <definedName name="CS_140">#REF!</definedName>
    <definedName name="CS_160" localSheetId="7">#REF!</definedName>
    <definedName name="CS_160">#REF!</definedName>
    <definedName name="CS_20" localSheetId="7">#REF!</definedName>
    <definedName name="CS_20">#REF!</definedName>
    <definedName name="CS_30" localSheetId="7">#REF!</definedName>
    <definedName name="CS_30">#REF!</definedName>
    <definedName name="CS_40" localSheetId="7">#REF!</definedName>
    <definedName name="CS_40">#REF!</definedName>
    <definedName name="CS_40S" localSheetId="7">#REF!</definedName>
    <definedName name="CS_40S">#REF!</definedName>
    <definedName name="CS_5S" localSheetId="7">#REF!</definedName>
    <definedName name="CS_5S">#REF!</definedName>
    <definedName name="CS_60" localSheetId="7">#REF!</definedName>
    <definedName name="CS_60">#REF!</definedName>
    <definedName name="CS_80" localSheetId="7">#REF!</definedName>
    <definedName name="CS_80">#REF!</definedName>
    <definedName name="CS_80S" localSheetId="7">#REF!</definedName>
    <definedName name="CS_80S">#REF!</definedName>
    <definedName name="CS_STD" localSheetId="7">#REF!</definedName>
    <definedName name="CS_STD">#REF!</definedName>
    <definedName name="CS_XS" localSheetId="7">#REF!</definedName>
    <definedName name="CS_XS">#REF!</definedName>
    <definedName name="CS_XXS" localSheetId="7">#REF!</definedName>
    <definedName name="CS_XXS">#REF!</definedName>
    <definedName name="csd3p" localSheetId="7">#REF!</definedName>
    <definedName name="csd3p">#REF!</definedName>
    <definedName name="csddg1p" localSheetId="7">#REF!</definedName>
    <definedName name="csddg1p">#REF!</definedName>
    <definedName name="csddt1p" localSheetId="7">#REF!</definedName>
    <definedName name="csddt1p">#REF!</definedName>
    <definedName name="csht3p" localSheetId="7">#REF!</definedName>
    <definedName name="csht3p">#REF!</definedName>
    <definedName name="CTCT1" localSheetId="2" hidden="1">{"'Sheet1'!$L$16"}</definedName>
    <definedName name="CTCT1" localSheetId="5" hidden="1">{"'Sheet1'!$L$16"}</definedName>
    <definedName name="CTCT1" hidden="1">{"'Sheet1'!$L$16"}</definedName>
    <definedName name="ctdn9697" localSheetId="7">#REF!</definedName>
    <definedName name="ctdn9697">#REF!</definedName>
    <definedName name="ctiep" localSheetId="7">#REF!</definedName>
    <definedName name="ctiep">#REF!</definedName>
    <definedName name="CTIET" localSheetId="7">#REF!</definedName>
    <definedName name="CTIET">#REF!</definedName>
    <definedName name="ctietxd" localSheetId="7">#REF!</definedName>
    <definedName name="ctietxd">#REF!</definedName>
    <definedName name="ctl" localSheetId="7">#REF!</definedName>
    <definedName name="ctl">#REF!</definedName>
    <definedName name="ctmai" localSheetId="7">#REF!</definedName>
    <definedName name="ctmai">#REF!</definedName>
    <definedName name="ctong" localSheetId="7">#REF!</definedName>
    <definedName name="ctong">#REF!</definedName>
    <definedName name="CTÖØ" localSheetId="7">#REF!</definedName>
    <definedName name="CTÖØ">#REF!</definedName>
    <definedName name="CTV" localSheetId="7">#REF!</definedName>
    <definedName name="CTV">#REF!</definedName>
    <definedName name="ctxd" localSheetId="7">#REF!</definedName>
    <definedName name="ctxd">#REF!</definedName>
    <definedName name="Cty_TNHH_HYDRO_AGRI" localSheetId="7">#REF!</definedName>
    <definedName name="Cty_TNHH_HYDRO_AGRI">#REF!</definedName>
    <definedName name="CTY_VTKTNN_CAÀN_THÔ" localSheetId="7">#REF!</definedName>
    <definedName name="CTY_VTKTNN_CAÀN_THÔ">#REF!</definedName>
    <definedName name="CTHA" localSheetId="7">#REF!</definedName>
    <definedName name="CTHA">#REF!</definedName>
    <definedName name="CTRAM" localSheetId="7">#REF!</definedName>
    <definedName name="CTRAM">#REF!</definedName>
    <definedName name="ctre" localSheetId="7">#REF!</definedName>
    <definedName name="ctre">#REF!</definedName>
    <definedName name="cu" localSheetId="7">#REF!</definedName>
    <definedName name="cu">#REF!</definedName>
    <definedName name="CU_LY_VAN_CHUYEN_GIA_QUYEN" localSheetId="7">#REF!</definedName>
    <definedName name="CU_LY_VAN_CHUYEN_GIA_QUYEN">#REF!</definedName>
    <definedName name="Cù_ly_vËn_chuyÓn_thñ_cong" localSheetId="7">#REF!</definedName>
    <definedName name="Cù_ly_vËn_chuyÓn_thñ_cong">#REF!</definedName>
    <definedName name="CUCHI" localSheetId="7">#REF!</definedName>
    <definedName name="CUCHI">#REF!</definedName>
    <definedName name="CUOC2963" localSheetId="7">#REF!</definedName>
    <definedName name="CUOC2963">#REF!</definedName>
    <definedName name="CURRENCY" localSheetId="7">#REF!</definedName>
    <definedName name="CURRENCY">#REF!</definedName>
    <definedName name="current" localSheetId="7">#REF!</definedName>
    <definedName name="current">#REF!</definedName>
    <definedName name="cx" localSheetId="7">#REF!</definedName>
    <definedName name="cx">#REF!</definedName>
    <definedName name="Czech_Against" localSheetId="7">#REF!,#REF!,#REF!</definedName>
    <definedName name="Czech_Against">#REF!,#REF!,#REF!</definedName>
    <definedName name="Czech_Played" localSheetId="7">#REF!,#REF!,#REF!</definedName>
    <definedName name="Czech_Played">#REF!,#REF!,#REF!</definedName>
    <definedName name="chay1" localSheetId="7">#REF!</definedName>
    <definedName name="chay1">#REF!</definedName>
    <definedName name="chay10" localSheetId="7">#REF!</definedName>
    <definedName name="chay10">#REF!</definedName>
    <definedName name="chay2" localSheetId="7">#REF!</definedName>
    <definedName name="chay2">#REF!</definedName>
    <definedName name="chay3" localSheetId="7">#REF!</definedName>
    <definedName name="chay3">#REF!</definedName>
    <definedName name="chay4" localSheetId="7">#REF!</definedName>
    <definedName name="chay4">#REF!</definedName>
    <definedName name="chay5" localSheetId="7">#REF!</definedName>
    <definedName name="chay5">#REF!</definedName>
    <definedName name="chay6" localSheetId="7">#REF!</definedName>
    <definedName name="chay6">#REF!</definedName>
    <definedName name="chay7" localSheetId="7">#REF!</definedName>
    <definedName name="chay7">#REF!</definedName>
    <definedName name="chay8" localSheetId="7">#REF!</definedName>
    <definedName name="chay8">#REF!</definedName>
    <definedName name="chay9" localSheetId="7">#REF!</definedName>
    <definedName name="chay9">#REF!</definedName>
    <definedName name="Chenh_lÖch_vËt_liÖu_phÇn_DZ35kv" localSheetId="7">#REF!</definedName>
    <definedName name="Chenh_lÖch_vËt_liÖu_phÇn_DZ35kv">#REF!</definedName>
    <definedName name="Chi_phÝ_do_tiÕp_dÞa_DZ35KV_ca_phat_sinh" localSheetId="7">#REF!</definedName>
    <definedName name="Chi_phÝ_do_tiÕp_dÞa_DZ35KV_ca_phat_sinh">#REF!</definedName>
    <definedName name="Chi_phÝ_khao_sat_kü_thuËt__thiÕt_kÕ" localSheetId="7">#REF!</definedName>
    <definedName name="Chi_phÝ_khao_sat_kü_thuËt__thiÕt_kÕ">#REF!</definedName>
    <definedName name="Chi_phÝ_nghiÖm_thu_dãng_diÖn" localSheetId="7">#REF!</definedName>
    <definedName name="Chi_phÝ_nghiÖm_thu_dãng_diÖn">#REF!</definedName>
    <definedName name="Chi_phÝ_thÈm_tra_tæ_chøc_xay_dùng" localSheetId="7">#REF!</definedName>
    <definedName name="Chi_phÝ_thÈm_tra_tæ_chøc_xay_dùng">#REF!</definedName>
    <definedName name="Chi_tieát_phi" localSheetId="7">#REF!</definedName>
    <definedName name="Chi_tieát_phi">#REF!</definedName>
    <definedName name="Chi_tiÕT__kho_kÝn__kho_hë" localSheetId="7">#REF!</definedName>
    <definedName name="Chi_tiÕT__kho_kÝn__kho_hë">#REF!</definedName>
    <definedName name="Chi_tiÕt_phat_tuyÕn_kho_bai_thi_cong" localSheetId="7">#REF!</definedName>
    <definedName name="Chi_tiÕt_phat_tuyÕn_kho_bai_thi_cong">#REF!</definedName>
    <definedName name="Chi_tiÕt_vl_nc_mtc_DZ35" localSheetId="7">#REF!</definedName>
    <definedName name="Chi_tiÕt_vl_nc_mtc_DZ35">#REF!</definedName>
    <definedName name="Chi_tiÕt_vl_nc_mtc_phÇn_thÝ_nghiÖm" localSheetId="7">#REF!</definedName>
    <definedName name="Chi_tiÕt_vl_nc_mtc_phÇn_thÝ_nghiÖm">#REF!</definedName>
    <definedName name="Chi_tiÕt_XM_cat_da_sái_dot4" localSheetId="7">#REF!</definedName>
    <definedName name="Chi_tiÕt_XM_cat_da_sái_dot4">#REF!</definedName>
    <definedName name="chie" localSheetId="7">BlankMacro1</definedName>
    <definedName name="chie">BlankMacro1</definedName>
    <definedName name="CHITIET" localSheetId="7">#REF!</definedName>
    <definedName name="CHITIET">#REF!</definedName>
    <definedName name="chitietbgiang2" localSheetId="2" hidden="1">{"'Sheet1'!$L$16"}</definedName>
    <definedName name="chitietbgiang2" localSheetId="5" hidden="1">{"'Sheet1'!$L$16"}</definedName>
    <definedName name="chitietbgiang2" hidden="1">{"'Sheet1'!$L$16"}</definedName>
    <definedName name="CHSO4" localSheetId="7">#REF!</definedName>
    <definedName name="CHSO4">#REF!</definedName>
    <definedName name="chung">66</definedName>
    <definedName name="chuong_phuluc_38" localSheetId="13">'61'!$A$1</definedName>
    <definedName name="chuong_phuluc_38_name" localSheetId="13">'61'!$A$2</definedName>
    <definedName name="chuong_phuluc_55" localSheetId="8">'55'!$A$1</definedName>
    <definedName name="chuong_phuluc_55_name" localSheetId="8">'55'!$A$2</definedName>
    <definedName name="chuyennhan" localSheetId="7">#REF!</definedName>
    <definedName name="chuyennhan">#REF!</definedName>
    <definedName name="d" localSheetId="2" hidden="1">{"'Sheet1'!$L$16"}</definedName>
    <definedName name="d" localSheetId="5" hidden="1">{"'Sheet1'!$L$16"}</definedName>
    <definedName name="Ð" localSheetId="7">BlankMacro1</definedName>
    <definedName name="Ð">BlankMacro1</definedName>
    <definedName name="d_" localSheetId="7">#REF!</definedName>
    <definedName name="d_">#REF!</definedName>
    <definedName name="D_7101A_B" localSheetId="7">#REF!</definedName>
    <definedName name="D_7101A_B">#REF!</definedName>
    <definedName name="d1_" localSheetId="7">#REF!</definedName>
    <definedName name="d1_">#REF!</definedName>
    <definedName name="d2_" localSheetId="7">#REF!</definedName>
    <definedName name="d2_">#REF!</definedName>
    <definedName name="d3_" localSheetId="7">#REF!</definedName>
    <definedName name="d3_">#REF!</definedName>
    <definedName name="d4_" localSheetId="7">#REF!</definedName>
    <definedName name="d4_">#REF!</definedName>
    <definedName name="d5_" localSheetId="7">#REF!</definedName>
    <definedName name="d5_">#REF!</definedName>
    <definedName name="DA" localSheetId="7">#REF!</definedName>
    <definedName name="DA">#REF!</definedName>
    <definedName name="dactinh" localSheetId="7">#REF!</definedName>
    <definedName name="dactinh">#REF!</definedName>
    <definedName name="Dalan" localSheetId="7">#REF!</definedName>
    <definedName name="Dalan">#REF!</definedName>
    <definedName name="DALANPASTE" localSheetId="7">#REF!</definedName>
    <definedName name="DALANPASTE">#REF!</definedName>
    <definedName name="dam" localSheetId="7">#REF!</definedName>
    <definedName name="dam">#REF!</definedName>
    <definedName name="danducsan" localSheetId="7">#REF!</definedName>
    <definedName name="danducsan">#REF!</definedName>
    <definedName name="data" localSheetId="7">#REF!</definedName>
    <definedName name="data">#REF!</definedName>
    <definedName name="DATA_DATA2_List" localSheetId="7">#REF!</definedName>
    <definedName name="DATA_DATA2_List">#REF!</definedName>
    <definedName name="DATA_Q" localSheetId="7">#REF!</definedName>
    <definedName name="DATA_Q">#REF!</definedName>
    <definedName name="DATA_QZ" localSheetId="7">#REF!</definedName>
    <definedName name="DATA_QZ">#REF!</definedName>
    <definedName name="DATA_W" localSheetId="7">#REF!</definedName>
    <definedName name="DATA_W">#REF!</definedName>
    <definedName name="DATA_WQ" localSheetId="7">#REF!</definedName>
    <definedName name="DATA_WQ">#REF!</definedName>
    <definedName name="DATA_X" localSheetId="7">#REF!</definedName>
    <definedName name="DATA_X">#REF!</definedName>
    <definedName name="DATA_X2" localSheetId="7">#REF!</definedName>
    <definedName name="DATA_X2">#REF!</definedName>
    <definedName name="DATA_Xn" localSheetId="7">#REF!</definedName>
    <definedName name="DATA_Xn">#REF!</definedName>
    <definedName name="data1" localSheetId="2" hidden="1">#REF!</definedName>
    <definedName name="data1" localSheetId="5" hidden="1">#REF!</definedName>
    <definedName name="data1" localSheetId="7" hidden="1">#REF!</definedName>
    <definedName name="data1" hidden="1">#REF!</definedName>
    <definedName name="Data11" localSheetId="7">#REF!</definedName>
    <definedName name="Data11">#REF!</definedName>
    <definedName name="data2" localSheetId="2" hidden="1">#REF!</definedName>
    <definedName name="data2" localSheetId="5" hidden="1">#REF!</definedName>
    <definedName name="data2" localSheetId="7" hidden="1">#REF!</definedName>
    <definedName name="data2" hidden="1">#REF!</definedName>
    <definedName name="data3" localSheetId="2" hidden="1">#REF!</definedName>
    <definedName name="data3" localSheetId="5" hidden="1">#REF!</definedName>
    <definedName name="data3" localSheetId="7" hidden="1">#REF!</definedName>
    <definedName name="data3" hidden="1">#REF!</definedName>
    <definedName name="Data41" localSheetId="7">#REF!</definedName>
    <definedName name="Data41">#REF!</definedName>
    <definedName name="_xlnm.Database" localSheetId="7">#REF!</definedName>
    <definedName name="_xlnm.Database">#REF!</definedName>
    <definedName name="datak" localSheetId="7">#REF!</definedName>
    <definedName name="datak">#REF!</definedName>
    <definedName name="datal" localSheetId="7">#REF!</definedName>
    <definedName name="datal">#REF!</definedName>
    <definedName name="DATALH" localSheetId="7">#REF!</definedName>
    <definedName name="DATALH">#REF!</definedName>
    <definedName name="DATAn" localSheetId="7">#REF!</definedName>
    <definedName name="DATAn">#REF!</definedName>
    <definedName name="DATATKDT" localSheetId="7">#REF!</definedName>
    <definedName name="DATATKDT">#REF!</definedName>
    <definedName name="DATATT" localSheetId="7">#REF!</definedName>
    <definedName name="DATATT">#REF!</definedName>
    <definedName name="DATDAO" localSheetId="7">#REF!</definedName>
    <definedName name="DATDAO">#REF!</definedName>
    <definedName name="day" localSheetId="7">#REF!</definedName>
    <definedName name="day">#REF!</definedName>
    <definedName name="DAYSU" localSheetId="7">#REF!</definedName>
    <definedName name="DAYSU">#REF!</definedName>
    <definedName name="DCAÂe">#N/A</definedName>
    <definedName name="DCL_22">12117600</definedName>
    <definedName name="DCL_35">13127400</definedName>
    <definedName name="dche" localSheetId="7">#REF!</definedName>
    <definedName name="dche">#REF!</definedName>
    <definedName name="DD" localSheetId="7">#REF!</definedName>
    <definedName name="DD">#REF!</definedName>
    <definedName name="ddao" localSheetId="7">#REF!</definedName>
    <definedName name="ddao">#REF!</definedName>
    <definedName name="dddem">0.1</definedName>
    <definedName name="dden" localSheetId="7">#REF!</definedName>
    <definedName name="dden">#REF!</definedName>
    <definedName name="dđ" hidden="1">{"'Sheet1'!$L$16"}</definedName>
    <definedName name="DEMI1">#N/A</definedName>
    <definedName name="DEMI2">#N/A</definedName>
    <definedName name="den_bu" localSheetId="7">#REF!</definedName>
    <definedName name="den_bu">#REF!</definedName>
    <definedName name="DenDK" localSheetId="2" hidden="1">{"'Sheet1'!$L$16"}</definedName>
    <definedName name="DenDK" localSheetId="5" hidden="1">{"'Sheet1'!$L$16"}</definedName>
    <definedName name="DenDK" hidden="1">{"'Sheet1'!$L$16"}</definedName>
    <definedName name="Det32x3" localSheetId="7">#REF!</definedName>
    <definedName name="Det32x3">#REF!</definedName>
    <definedName name="Det35x3" localSheetId="7">#REF!</definedName>
    <definedName name="Det35x3">#REF!</definedName>
    <definedName name="Det40x4" localSheetId="7">#REF!</definedName>
    <definedName name="Det40x4">#REF!</definedName>
    <definedName name="Det50x5" localSheetId="7">#REF!</definedName>
    <definedName name="Det50x5">#REF!</definedName>
    <definedName name="Det63x6" localSheetId="7">#REF!</definedName>
    <definedName name="Det63x6">#REF!</definedName>
    <definedName name="Det75x6" localSheetId="7">#REF!</definedName>
    <definedName name="Det75x6">#REF!</definedName>
    <definedName name="df" localSheetId="7">#REF!</definedName>
    <definedName name="df">#REF!</definedName>
    <definedName name="dfg" localSheetId="2" hidden="1">{"'Sheet1'!$L$16"}</definedName>
    <definedName name="dfg" localSheetId="5" hidden="1">{"'Sheet1'!$L$16"}</definedName>
    <definedName name="dfg" hidden="1">{"'Sheet1'!$L$16"}</definedName>
    <definedName name="dg" localSheetId="7">#REF!</definedName>
    <definedName name="dg">#REF!</definedName>
    <definedName name="dg_66" localSheetId="7">#REF!</definedName>
    <definedName name="dg_66">#REF!</definedName>
    <definedName name="dg_67" localSheetId="7">#REF!</definedName>
    <definedName name="dg_67">#REF!</definedName>
    <definedName name="dgbdII" localSheetId="7">#REF!</definedName>
    <definedName name="dgbdII">#REF!</definedName>
    <definedName name="DGCT" localSheetId="7">#REF!</definedName>
    <definedName name="DGCT">#REF!</definedName>
    <definedName name="DGCTI592" localSheetId="7">#REF!</definedName>
    <definedName name="DGCTI592">#REF!</definedName>
    <definedName name="dgctp2" localSheetId="2" hidden="1">{"'Sheet1'!$L$16"}</definedName>
    <definedName name="dgctp2" localSheetId="5" hidden="1">{"'Sheet1'!$L$16"}</definedName>
    <definedName name="dgctp2" hidden="1">{"'Sheet1'!$L$16"}</definedName>
    <definedName name="dghp" localSheetId="7">#REF!</definedName>
    <definedName name="dghp">#REF!</definedName>
    <definedName name="dgnc" localSheetId="7">#REF!</definedName>
    <definedName name="dgnc">#REF!</definedName>
    <definedName name="dgqndn" localSheetId="7">#REF!</definedName>
    <definedName name="dgqndn">#REF!</definedName>
    <definedName name="DGT" localSheetId="7">#REF!</definedName>
    <definedName name="DGT">#REF!</definedName>
    <definedName name="DGTB" localSheetId="7">#REF!</definedName>
    <definedName name="DGTB">#REF!</definedName>
    <definedName name="DGTV" localSheetId="7">#REF!</definedName>
    <definedName name="DGTV">#REF!</definedName>
    <definedName name="DGTH" localSheetId="7">#REF!</definedName>
    <definedName name="DGTH">#REF!</definedName>
    <definedName name="dgthss3" localSheetId="7">#REF!</definedName>
    <definedName name="dgthss3">#REF!</definedName>
    <definedName name="dgvl" localSheetId="7">#REF!</definedName>
    <definedName name="dgvl">#REF!</definedName>
    <definedName name="Dhang" localSheetId="7">#REF!</definedName>
    <definedName name="Dhang">#REF!</definedName>
    <definedName name="Di_chuyÓn_bé_may_thi_cong" localSheetId="7">#REF!</definedName>
    <definedName name="Di_chuyÓn_bé_may_thi_cong">#REF!</definedName>
    <definedName name="dien" localSheetId="7">#REF!</definedName>
    <definedName name="dien">#REF!</definedName>
    <definedName name="dientichck" localSheetId="7">#REF!</definedName>
    <definedName name="dientichck">#REF!</definedName>
    <definedName name="Dinh_muc_1_m3_beton_m200" localSheetId="7">#REF!</definedName>
    <definedName name="Dinh_muc_1_m3_beton_m200">#REF!</definedName>
    <definedName name="Discount" localSheetId="2" hidden="1">#REF!</definedName>
    <definedName name="Discount" localSheetId="5" hidden="1">#REF!</definedName>
    <definedName name="Discount" localSheetId="7" hidden="1">#REF!</definedName>
    <definedName name="Discount" hidden="1">#REF!</definedName>
    <definedName name="display_area_2" localSheetId="2" hidden="1">#REF!</definedName>
    <definedName name="display_area_2" localSheetId="5" hidden="1">#REF!</definedName>
    <definedName name="display_area_2" localSheetId="7" hidden="1">#REF!</definedName>
    <definedName name="display_area_2" hidden="1">#REF!</definedName>
    <definedName name="DKTHUE01" localSheetId="7">#REF!</definedName>
    <definedName name="DKTHUE01">#REF!</definedName>
    <definedName name="DKTHUE01B" localSheetId="7">#REF!</definedName>
    <definedName name="DKTHUE01B">#REF!</definedName>
    <definedName name="DKTHUE02" localSheetId="7">#REF!</definedName>
    <definedName name="DKTHUE02">#REF!</definedName>
    <definedName name="DKTHUE03" localSheetId="7">#REF!</definedName>
    <definedName name="DKTHUE03">#REF!</definedName>
    <definedName name="DKTHUE04" localSheetId="7">#REF!</definedName>
    <definedName name="DKTHUE04">#REF!</definedName>
    <definedName name="DKTHUE05" localSheetId="7">#REF!</definedName>
    <definedName name="DKTHUE05">#REF!</definedName>
    <definedName name="DKTHUE06" localSheetId="7">#REF!</definedName>
    <definedName name="DKTHUE06">#REF!</definedName>
    <definedName name="DKTHUE07" localSheetId="7">#REF!</definedName>
    <definedName name="DKTHUE07">#REF!</definedName>
    <definedName name="DKTHUE08" localSheetId="7">#REF!</definedName>
    <definedName name="DKTHUE08">#REF!</definedName>
    <definedName name="DKTHUE091" localSheetId="7">#REF!</definedName>
    <definedName name="DKTHUE091">#REF!</definedName>
    <definedName name="DKTHUE092" localSheetId="7">#REF!</definedName>
    <definedName name="DKTHUE092">#REF!</definedName>
    <definedName name="DKTHUE093" localSheetId="7">#REF!</definedName>
    <definedName name="DKTHUE093">#REF!</definedName>
    <definedName name="DKTHUE10" localSheetId="7">#REF!</definedName>
    <definedName name="DKTHUE10">#REF!</definedName>
    <definedName name="DKTHUE11" localSheetId="7">#REF!</definedName>
    <definedName name="DKTHUE11">#REF!</definedName>
    <definedName name="DKTHUE12" localSheetId="7">#REF!</definedName>
    <definedName name="DKTHUE12">#REF!</definedName>
    <definedName name="DKTHUE13" localSheetId="7">#REF!</definedName>
    <definedName name="DKTHUE13">#REF!</definedName>
    <definedName name="DKTHUE14" localSheetId="7">#REF!</definedName>
    <definedName name="DKTHUE14">#REF!</definedName>
    <definedName name="DL" localSheetId="7">#REF!</definedName>
    <definedName name="DL">#REF!</definedName>
    <definedName name="DLCC" localSheetId="7">#REF!</definedName>
    <definedName name="DLCC">#REF!</definedName>
    <definedName name="DLHA" localSheetId="7">#REF!</definedName>
    <definedName name="DLHA">#REF!</definedName>
    <definedName name="DLTA" localSheetId="7">#REF!</definedName>
    <definedName name="DLTA">#REF!</definedName>
    <definedName name="DM" localSheetId="7">#REF!,#REF!,#REF!,#REF!</definedName>
    <definedName name="DM">#REF!,#REF!,#REF!,#REF!</definedName>
    <definedName name="DM_248" localSheetId="7">#REF!</definedName>
    <definedName name="DM_248">#REF!</definedName>
    <definedName name="dm56bxd" localSheetId="7">#REF!</definedName>
    <definedName name="dm56bxd">#REF!</definedName>
    <definedName name="dmat" localSheetId="7">#REF!</definedName>
    <definedName name="dmat">#REF!</definedName>
    <definedName name="dmdv" localSheetId="7">#REF!</definedName>
    <definedName name="dmdv">#REF!</definedName>
    <definedName name="DMHH" localSheetId="7">#REF!</definedName>
    <definedName name="DMHH">#REF!</definedName>
    <definedName name="dmoi" localSheetId="7">#REF!</definedName>
    <definedName name="dmoi">#REF!</definedName>
    <definedName name="DNCD" localSheetId="7">#REF!</definedName>
    <definedName name="DNCD">#REF!</definedName>
    <definedName name="DNDZ22" localSheetId="7">#REF!</definedName>
    <definedName name="DNDZ22">#REF!</definedName>
    <definedName name="DNNN">#REF!</definedName>
    <definedName name="DÑt45x4" localSheetId="7">#REF!</definedName>
    <definedName name="DÑt45x4">#REF!</definedName>
    <definedName name="doan1" localSheetId="7">#REF!</definedName>
    <definedName name="doan1">#REF!</definedName>
    <definedName name="doan2" localSheetId="7">#REF!</definedName>
    <definedName name="doan2">#REF!</definedName>
    <definedName name="doan3" localSheetId="7">#REF!</definedName>
    <definedName name="doan3">#REF!</definedName>
    <definedName name="doan4" localSheetId="7">#REF!</definedName>
    <definedName name="doan4">#REF!</definedName>
    <definedName name="doan5" localSheetId="7">#REF!</definedName>
    <definedName name="doan5">#REF!</definedName>
    <definedName name="doan6" localSheetId="7">#REF!</definedName>
    <definedName name="doan6">#REF!</definedName>
    <definedName name="dobt" localSheetId="7">#REF!</definedName>
    <definedName name="dobt">#REF!</definedName>
    <definedName name="Doc" localSheetId="7">#REF!</definedName>
    <definedName name="Doc">#REF!</definedName>
    <definedName name="docdoc">0.03125</definedName>
    <definedName name="Document_array" localSheetId="14">{"Book1","KK- bc  hoa don T9.xls"}</definedName>
    <definedName name="Document_array" localSheetId="3">{"Book1","KK- bc  hoa don T9.xls"}</definedName>
    <definedName name="Document_array" localSheetId="2">{"Book1","KK- bc  hoa don T9.xls"}</definedName>
    <definedName name="Document_array" localSheetId="5">{"Book1","KK- bc  hoa don T9.xls"}</definedName>
    <definedName name="Document_array" localSheetId="13">{"Book1"}</definedName>
    <definedName name="Document_array">{"Book1","KK- bc  hoa don T9.xls"}</definedName>
    <definedName name="Documents_array" localSheetId="7">#REF!</definedName>
    <definedName name="Documents_array">#REF!</definedName>
    <definedName name="Doituong_bc" localSheetId="7">#REF!</definedName>
    <definedName name="Doituong_bc">#REF!</definedName>
    <definedName name="Doku" localSheetId="7">#REF!</definedName>
    <definedName name="Doku">#REF!</definedName>
    <definedName name="DON_GIA_3282" localSheetId="7">#REF!</definedName>
    <definedName name="DON_GIA_3282">#REF!</definedName>
    <definedName name="DON_GIA_3283" localSheetId="7">#REF!</definedName>
    <definedName name="DON_GIA_3283">#REF!</definedName>
    <definedName name="DON_GIA_3285" localSheetId="7">#REF!</definedName>
    <definedName name="DON_GIA_3285">#REF!</definedName>
    <definedName name="Don_gia_VCTC" localSheetId="7">#REF!</definedName>
    <definedName name="Don_gia_VCTC">#REF!</definedName>
    <definedName name="DonGia2" localSheetId="7">#REF!</definedName>
    <definedName name="DonGia2">#REF!</definedName>
    <definedName name="dotcong" localSheetId="7">#REF!</definedName>
    <definedName name="dotcong">#REF!</definedName>
    <definedName name="dp" localSheetId="7">#REF!</definedName>
    <definedName name="dp">#REF!</definedName>
    <definedName name="Drawpoints">1</definedName>
    <definedName name="Drop1">"Drop Down 3"</definedName>
    <definedName name="ds" localSheetId="7">#REF!</definedName>
    <definedName name="ds">#REF!</definedName>
    <definedName name="DS1p1vc" localSheetId="7">#REF!</definedName>
    <definedName name="DS1p1vc">#REF!</definedName>
    <definedName name="ds1pnc" localSheetId="7">#REF!</definedName>
    <definedName name="ds1pnc">#REF!</definedName>
    <definedName name="ds1pvl" localSheetId="7">#REF!</definedName>
    <definedName name="ds1pvl">#REF!</definedName>
    <definedName name="ds3pctnc" localSheetId="7">#REF!</definedName>
    <definedName name="ds3pctnc">#REF!</definedName>
    <definedName name="ds3pctvc" localSheetId="7">#REF!</definedName>
    <definedName name="ds3pctvc">#REF!</definedName>
    <definedName name="ds3pctvl" localSheetId="7">#REF!</definedName>
    <definedName name="ds3pctvl">#REF!</definedName>
    <definedName name="ds3pnc" localSheetId="7">#REF!</definedName>
    <definedName name="ds3pnc">#REF!</definedName>
    <definedName name="ds3pvl" localSheetId="7">#REF!</definedName>
    <definedName name="ds3pvl">#REF!</definedName>
    <definedName name="dscb" localSheetId="7">#REF!</definedName>
    <definedName name="dscb">#REF!</definedName>
    <definedName name="dsh" localSheetId="2" hidden="1">#REF!</definedName>
    <definedName name="dsh" localSheetId="5" hidden="1">#REF!</definedName>
    <definedName name="dsh" localSheetId="7" hidden="1">#REF!</definedName>
    <definedName name="dsh" hidden="1">#REF!</definedName>
    <definedName name="DSPK1p1nc" localSheetId="7">#REF!</definedName>
    <definedName name="DSPK1p1nc">#REF!</definedName>
    <definedName name="DSPK1p1vl" localSheetId="7">#REF!</definedName>
    <definedName name="DSPK1p1vl">#REF!</definedName>
    <definedName name="DSPK1pnc" localSheetId="7">#REF!</definedName>
    <definedName name="DSPK1pnc">#REF!</definedName>
    <definedName name="DSPK1pvl" localSheetId="7">#REF!</definedName>
    <definedName name="DSPK1pvl">#REF!</definedName>
    <definedName name="DSTD_Clear">#N/A</definedName>
    <definedName name="DSUMDATA" localSheetId="7">#REF!</definedName>
    <definedName name="DSUMDATA">#REF!</definedName>
    <definedName name="DT_VKHNN" localSheetId="7">#REF!</definedName>
    <definedName name="DT_VKHNN">#REF!</definedName>
    <definedName name="DTBH" localSheetId="7">#REF!</definedName>
    <definedName name="DTBH">#REF!</definedName>
    <definedName name="DTCTANG_BD" localSheetId="7">#REF!</definedName>
    <definedName name="DTCTANG_BD">#REF!</definedName>
    <definedName name="DTCTANG_HT_BD" localSheetId="7">#REF!</definedName>
    <definedName name="DTCTANG_HT_BD">#REF!</definedName>
    <definedName name="DTCTANG_HT_KT" localSheetId="7">#REF!</definedName>
    <definedName name="DTCTANG_HT_KT">#REF!</definedName>
    <definedName name="DTCTANG_KT" localSheetId="7">#REF!</definedName>
    <definedName name="DTCTANG_KT">#REF!</definedName>
    <definedName name="dtdt" localSheetId="7">#REF!</definedName>
    <definedName name="dtdt">#REF!</definedName>
    <definedName name="dtich1" localSheetId="7">#REF!</definedName>
    <definedName name="dtich1">#REF!</definedName>
    <definedName name="dtich2" localSheetId="7">#REF!</definedName>
    <definedName name="dtich2">#REF!</definedName>
    <definedName name="dtich3" localSheetId="7">#REF!</definedName>
    <definedName name="dtich3">#REF!</definedName>
    <definedName name="dtich4" localSheetId="7">#REF!</definedName>
    <definedName name="dtich4">#REF!</definedName>
    <definedName name="dtich5" localSheetId="7">#REF!</definedName>
    <definedName name="dtich5">#REF!</definedName>
    <definedName name="dtich6" localSheetId="7">#REF!</definedName>
    <definedName name="dtich6">#REF!</definedName>
    <definedName name="dttram" localSheetId="7">#REF!</definedName>
    <definedName name="dttram">#REF!</definedName>
    <definedName name="DU_NKC" localSheetId="7">#REF!</definedName>
    <definedName name="DU_NKC">#REF!</definedName>
    <definedName name="DU_TOAN_CHI_TIET_CONG_TO" localSheetId="7">#REF!</definedName>
    <definedName name="DU_TOAN_CHI_TIET_CONG_TO">#REF!</definedName>
    <definedName name="DU_TOAN_CHI_TIET_DZ0.4KV" localSheetId="7">#REF!</definedName>
    <definedName name="DU_TOAN_CHI_TIET_DZ0.4KV">#REF!</definedName>
    <definedName name="DU_TOAN_CHI_TIET_KHO_BAI" localSheetId="7">#REF!</definedName>
    <definedName name="DU_TOAN_CHI_TIET_KHO_BAI">#REF!</definedName>
    <definedName name="DULIEUHD" localSheetId="7">#REF!</definedName>
    <definedName name="DULIEUHD">#REF!</definedName>
    <definedName name="dungcot" localSheetId="7">#REF!</definedName>
    <definedName name="dungcot">#REF!</definedName>
    <definedName name="duyetHS" localSheetId="7">#REF!</definedName>
    <definedName name="duyetHS">#REF!</definedName>
    <definedName name="DVI_A12" localSheetId="7">#REF!</definedName>
    <definedName name="DVI_A12">#REF!</definedName>
    <definedName name="dvt" localSheetId="7">#REF!</definedName>
    <definedName name="dvt">#REF!</definedName>
    <definedName name="DZ" localSheetId="7">#REF!</definedName>
    <definedName name="DZ">#REF!</definedName>
    <definedName name="E" localSheetId="2" hidden="1">{#N/A,#N/A,FALSE,"BN (2)"}</definedName>
    <definedName name="E" localSheetId="5" hidden="1">{#N/A,#N/A,FALSE,"BN (2)"}</definedName>
    <definedName name="E" hidden="1">{#N/A,#N/A,FALSE,"BN (2)"}</definedName>
    <definedName name="E.chandoc">8.875</definedName>
    <definedName name="E.PC">10.438</definedName>
    <definedName name="E.PVI">12</definedName>
    <definedName name="Ec" localSheetId="7">#REF!</definedName>
    <definedName name="Ec">#REF!</definedName>
    <definedName name="Ecuador_Against" localSheetId="7">#REF!,#REF!,#REF!</definedName>
    <definedName name="Ecuador_Against">#REF!,#REF!,#REF!</definedName>
    <definedName name="Ecuador_Played" localSheetId="7">#REF!,#REF!,#REF!</definedName>
    <definedName name="Ecuador_Played">#REF!,#REF!,#REF!</definedName>
    <definedName name="Email" localSheetId="7">#REF!</definedName>
    <definedName name="Email">#REF!</definedName>
    <definedName name="emb" localSheetId="7">#REF!</definedName>
    <definedName name="emb">#REF!</definedName>
    <definedName name="End_1" localSheetId="7">#REF!</definedName>
    <definedName name="End_1">#REF!</definedName>
    <definedName name="End_10" localSheetId="7">#REF!</definedName>
    <definedName name="End_10">#REF!</definedName>
    <definedName name="End_11" localSheetId="7">#REF!</definedName>
    <definedName name="End_11">#REF!</definedName>
    <definedName name="End_12" localSheetId="7">#REF!</definedName>
    <definedName name="End_12">#REF!</definedName>
    <definedName name="End_13" localSheetId="7">#REF!</definedName>
    <definedName name="End_13">#REF!</definedName>
    <definedName name="End_2" localSheetId="7">#REF!</definedName>
    <definedName name="End_2">#REF!</definedName>
    <definedName name="End_3" localSheetId="7">#REF!</definedName>
    <definedName name="End_3">#REF!</definedName>
    <definedName name="End_4" localSheetId="7">#REF!</definedName>
    <definedName name="End_4">#REF!</definedName>
    <definedName name="End_5" localSheetId="7">#REF!</definedName>
    <definedName name="End_5">#REF!</definedName>
    <definedName name="End_6" localSheetId="7">#REF!</definedName>
    <definedName name="End_6">#REF!</definedName>
    <definedName name="End_7" localSheetId="7">#REF!</definedName>
    <definedName name="End_7">#REF!</definedName>
    <definedName name="End_8" localSheetId="7">#REF!</definedName>
    <definedName name="End_8">#REF!</definedName>
    <definedName name="End_9" localSheetId="7">#REF!</definedName>
    <definedName name="End_9">#REF!</definedName>
    <definedName name="England_Against" localSheetId="7">#REF!,#REF!,#REF!</definedName>
    <definedName name="England_Against">#REF!,#REF!,#REF!</definedName>
    <definedName name="England_Played" localSheetId="7">#REF!,#REF!,#REF!</definedName>
    <definedName name="England_Played">#REF!,#REF!,#REF!</definedName>
    <definedName name="EPIL" localSheetId="7">#REF!</definedName>
    <definedName name="EPIL">#REF!</definedName>
    <definedName name="ex" localSheetId="7">#REF!</definedName>
    <definedName name="ex">#REF!</definedName>
    <definedName name="Excell_HCM" localSheetId="7">#REF!</definedName>
    <definedName name="Excell_HCM">#REF!</definedName>
    <definedName name="f" localSheetId="2" hidden="1">{"'Sheet1'!$L$16"}</definedName>
    <definedName name="f" localSheetId="5" hidden="1">{"'Sheet1'!$L$16"}</definedName>
    <definedName name="f" localSheetId="7">#REF!</definedName>
    <definedName name="f">#REF!</definedName>
    <definedName name="F_Z" localSheetId="7">#REF!</definedName>
    <definedName name="F_Z">#REF!</definedName>
    <definedName name="f82E46" localSheetId="7">#REF!</definedName>
    <definedName name="f82E46">#REF!</definedName>
    <definedName name="FACTOR" localSheetId="7">#REF!</definedName>
    <definedName name="FACTOR">#REF!</definedName>
    <definedName name="Fax" localSheetId="7">#REF!</definedName>
    <definedName name="Fax">#REF!</definedName>
    <definedName name="FB" localSheetId="7">#REF!</definedName>
    <definedName name="FB">#REF!</definedName>
    <definedName name="fc" localSheetId="7">#REF!</definedName>
    <definedName name="fc">#REF!</definedName>
    <definedName name="fc_" localSheetId="7">#REF!</definedName>
    <definedName name="fc_">#REF!</definedName>
    <definedName name="FCode" localSheetId="2" hidden="1">#REF!</definedName>
    <definedName name="FCode" localSheetId="5" hidden="1">#REF!</definedName>
    <definedName name="FCode" localSheetId="7" hidden="1">#REF!</definedName>
    <definedName name="FCode" hidden="1">#REF!</definedName>
    <definedName name="FFF" localSheetId="14">BlankMacro1</definedName>
    <definedName name="FFF" localSheetId="3">BlankMacro1</definedName>
    <definedName name="FFF" localSheetId="2">BlankMacro1</definedName>
    <definedName name="FFF" localSheetId="5">BlankMacro1</definedName>
    <definedName name="FFF" localSheetId="7">BlankMacro1</definedName>
    <definedName name="FFF" localSheetId="13">BlankMacro1</definedName>
    <definedName name="FFF">BlankMacro1</definedName>
    <definedName name="FI_12">4820</definedName>
    <definedName name="FIT" localSheetId="14">BlankMacro1</definedName>
    <definedName name="FIT" localSheetId="3">BlankMacro1</definedName>
    <definedName name="FIT" localSheetId="2">BlankMacro1</definedName>
    <definedName name="FIT" localSheetId="5">BlankMacro1</definedName>
    <definedName name="FIT" localSheetId="7">BlankMacro1</definedName>
    <definedName name="FIT" localSheetId="13">BlankMacro1</definedName>
    <definedName name="FIT">BlankMacro1</definedName>
    <definedName name="FITT2" localSheetId="14">BlankMacro1</definedName>
    <definedName name="FITT2" localSheetId="3">BlankMacro1</definedName>
    <definedName name="FITT2" localSheetId="2">BlankMacro1</definedName>
    <definedName name="FITT2" localSheetId="5">BlankMacro1</definedName>
    <definedName name="FITT2" localSheetId="7">BlankMacro1</definedName>
    <definedName name="FITT2" localSheetId="13">BlankMacro1</definedName>
    <definedName name="FITT2">BlankMacro1</definedName>
    <definedName name="FITTING2" localSheetId="14">BlankMacro1</definedName>
    <definedName name="FITTING2" localSheetId="3">BlankMacro1</definedName>
    <definedName name="FITTING2" localSheetId="2">BlankMacro1</definedName>
    <definedName name="FITTING2" localSheetId="5">BlankMacro1</definedName>
    <definedName name="FITTING2" localSheetId="7">BlankMacro1</definedName>
    <definedName name="FITTING2" localSheetId="13">BlankMacro1</definedName>
    <definedName name="FITTING2">BlankMacro1</definedName>
    <definedName name="fks" localSheetId="7">#REF!</definedName>
    <definedName name="fks">#REF!</definedName>
    <definedName name="FlexZZ" localSheetId="7">#REF!</definedName>
    <definedName name="FlexZZ">#REF!</definedName>
    <definedName name="FLG" localSheetId="14">BlankMacro1</definedName>
    <definedName name="FLG" localSheetId="3">BlankMacro1</definedName>
    <definedName name="FLG" localSheetId="2">BlankMacro1</definedName>
    <definedName name="FLG" localSheetId="5">BlankMacro1</definedName>
    <definedName name="FLG" localSheetId="7">BlankMacro1</definedName>
    <definedName name="FLG" localSheetId="13">BlankMacro1</definedName>
    <definedName name="FLG">BlankMacro1</definedName>
    <definedName name="FO">#N/A</definedName>
    <definedName name="foo" localSheetId="7">ErrorHandler_1</definedName>
    <definedName name="foo">ErrorHandler_1</definedName>
    <definedName name="France_Against" localSheetId="7">#REF!,#REF!,#REF!</definedName>
    <definedName name="France_Against">#REF!,#REF!,#REF!</definedName>
    <definedName name="France_Played" localSheetId="7">#REF!,#REF!,#REF!</definedName>
    <definedName name="France_Played">#REF!,#REF!,#REF!</definedName>
    <definedName name="fs" localSheetId="7">#REF!</definedName>
    <definedName name="fs">#REF!</definedName>
    <definedName name="fsdfdsf" localSheetId="2" hidden="1">{"'Sheet1'!$L$16"}</definedName>
    <definedName name="fsdfdsf" localSheetId="5" hidden="1">{"'Sheet1'!$L$16"}</definedName>
    <definedName name="fsdfdsf" hidden="1">{"'Sheet1'!$L$16"}</definedName>
    <definedName name="fy" localSheetId="7">#REF!</definedName>
    <definedName name="fy">#REF!</definedName>
    <definedName name="Fy_" localSheetId="7">#REF!</definedName>
    <definedName name="Fy_">#REF!</definedName>
    <definedName name="g" localSheetId="2" hidden="1">{"'Sheet1'!$L$16"}</definedName>
    <definedName name="g" localSheetId="5" hidden="1">{"'Sheet1'!$L$16"}</definedName>
    <definedName name="g_" localSheetId="7">#REF!</definedName>
    <definedName name="g_">#REF!</definedName>
    <definedName name="G_ME" localSheetId="7">#REF!</definedName>
    <definedName name="G_ME">#REF!</definedName>
    <definedName name="gachchongtron" localSheetId="7">#REF!</definedName>
    <definedName name="gachchongtron">#REF!</definedName>
    <definedName name="gachlanem" localSheetId="7">#REF!</definedName>
    <definedName name="gachlanem">#REF!</definedName>
    <definedName name="gas" localSheetId="7">#REF!</definedName>
    <definedName name="gas">#REF!</definedName>
    <definedName name="gchi" localSheetId="7">#REF!</definedName>
    <definedName name="gchi">#REF!</definedName>
    <definedName name="GDDCLTDZ22" localSheetId="7">#REF!</definedName>
    <definedName name="GDDCLTDZ22">#REF!</definedName>
    <definedName name="geff" localSheetId="7">#REF!</definedName>
    <definedName name="geff">#REF!</definedName>
    <definedName name="Gem_Ctiet" localSheetId="7">#REF!</definedName>
    <definedName name="Gem_Ctiet">#REF!</definedName>
    <definedName name="Gem_Thop" localSheetId="7">#REF!</definedName>
    <definedName name="Gem_Thop">#REF!</definedName>
    <definedName name="Gem_VC" localSheetId="7">#REF!</definedName>
    <definedName name="Gem_VC">#REF!</definedName>
    <definedName name="geo" localSheetId="7">#REF!</definedName>
    <definedName name="geo">#REF!</definedName>
    <definedName name="Gerät">#N/A</definedName>
    <definedName name="Germany_Against" localSheetId="7">#REF!,#REF!,#REF!</definedName>
    <definedName name="Germany_Against">#REF!,#REF!,#REF!</definedName>
    <definedName name="Germany_Played" localSheetId="7">#REF!,#REF!,#REF!</definedName>
    <definedName name="Germany_Played">#REF!,#REF!,#REF!</definedName>
    <definedName name="getrtertertert" localSheetId="7">BlankMacro1</definedName>
    <definedName name="getrtertertert">BlankMacro1</definedName>
    <definedName name="GG">{"Thuxm2.xls","Sheet1"}</definedName>
    <definedName name="Ghana_Against" localSheetId="7">#REF!,#REF!,#REF!</definedName>
    <definedName name="Ghana_Against">#REF!,#REF!,#REF!</definedName>
    <definedName name="Ghana_Played" localSheetId="7">#REF!,#REF!,#REF!</definedName>
    <definedName name="Ghana_Played">#REF!,#REF!,#REF!</definedName>
    <definedName name="gl3p" localSheetId="7">#REF!</definedName>
    <definedName name="gl3p">#REF!</definedName>
    <definedName name="gld" localSheetId="7">#REF!</definedName>
    <definedName name="gld">#REF!</definedName>
    <definedName name="Goc32x3" localSheetId="7">#REF!</definedName>
    <definedName name="Goc32x3">#REF!</definedName>
    <definedName name="Goc35x3" localSheetId="7">#REF!</definedName>
    <definedName name="Goc35x3">#REF!</definedName>
    <definedName name="Goc40x4" localSheetId="7">#REF!</definedName>
    <definedName name="Goc40x4">#REF!</definedName>
    <definedName name="Goc45x4" localSheetId="7">#REF!</definedName>
    <definedName name="Goc45x4">#REF!</definedName>
    <definedName name="Goc50x5" localSheetId="7">#REF!</definedName>
    <definedName name="Goc50x5">#REF!</definedName>
    <definedName name="Goc63x6" localSheetId="7">#REF!</definedName>
    <definedName name="Goc63x6">#REF!</definedName>
    <definedName name="Goc75x6" localSheetId="7">#REF!</definedName>
    <definedName name="Goc75x6">#REF!</definedName>
    <definedName name="GOVAP1" localSheetId="7">#REF!</definedName>
    <definedName name="GOVAP1">#REF!</definedName>
    <definedName name="GOVAP2" localSheetId="7">#REF!</definedName>
    <definedName name="GOVAP2">#REF!</definedName>
    <definedName name="GRFICM" localSheetId="7">#REF!</definedName>
    <definedName name="GRFICM">#REF!</definedName>
    <definedName name="Groupstage_Losers" localSheetId="7">#REF!</definedName>
    <definedName name="Groupstage_Losers">#REF!</definedName>
    <definedName name="Groupstage_Winners" localSheetId="7">#REF!</definedName>
    <definedName name="Groupstage_Winners">#REF!</definedName>
    <definedName name="GSTC" localSheetId="7">#REF!</definedName>
    <definedName name="GSTC">#REF!</definedName>
    <definedName name="GT" localSheetId="7">#REF!</definedName>
    <definedName name="GT">#REF!</definedName>
    <definedName name="Gtb" localSheetId="7">#REF!</definedName>
    <definedName name="Gtb">#REF!</definedName>
    <definedName name="gtc" localSheetId="7">#REF!</definedName>
    <definedName name="gtc">#REF!</definedName>
    <definedName name="GTCT" localSheetId="7">#REF!</definedName>
    <definedName name="GTCT">#REF!</definedName>
    <definedName name="GTDTCTANG_HT_NC_BD" localSheetId="7">#REF!</definedName>
    <definedName name="GTDTCTANG_HT_NC_BD">#REF!</definedName>
    <definedName name="GTDTCTANG_HT_NC_KT" localSheetId="7">#REF!</definedName>
    <definedName name="GTDTCTANG_HT_NC_KT">#REF!</definedName>
    <definedName name="GTDTCTANG_HT_VL_BD" localSheetId="7">#REF!</definedName>
    <definedName name="GTDTCTANG_HT_VL_BD">#REF!</definedName>
    <definedName name="GTDTCTANG_HT_VL_KT" localSheetId="7">#REF!</definedName>
    <definedName name="GTDTCTANG_HT_VL_KT">#REF!</definedName>
    <definedName name="GTDTCTANG_NC_BD" localSheetId="7">#REF!</definedName>
    <definedName name="GTDTCTANG_NC_BD">#REF!</definedName>
    <definedName name="GTDTCTANG_NC_KT" localSheetId="7">#REF!</definedName>
    <definedName name="GTDTCTANG_NC_KT">#REF!</definedName>
    <definedName name="GTDTCTANG_VL_BD" localSheetId="7">#REF!</definedName>
    <definedName name="GTDTCTANG_VL_BD">#REF!</definedName>
    <definedName name="GTDTCTANG_VL_KT" localSheetId="7">#REF!</definedName>
    <definedName name="GTDTCTANG_VL_KT">#REF!</definedName>
    <definedName name="GTNT1" localSheetId="7">#REF!</definedName>
    <definedName name="GTNT1">#REF!</definedName>
    <definedName name="GTNT2" localSheetId="7">#REF!</definedName>
    <definedName name="GTNT2">#REF!</definedName>
    <definedName name="GTXL" localSheetId="7">#REF!</definedName>
    <definedName name="GTXL">#REF!</definedName>
    <definedName name="Gxl" localSheetId="7">#REF!</definedName>
    <definedName name="Gxl">#REF!</definedName>
    <definedName name="gxm" localSheetId="7">#REF!</definedName>
    <definedName name="gxm">#REF!</definedName>
    <definedName name="gi">0.4</definedName>
    <definedName name="Gia_CT" localSheetId="7">#REF!</definedName>
    <definedName name="Gia_CT">#REF!</definedName>
    <definedName name="gia_tien" localSheetId="7">#REF!</definedName>
    <definedName name="gia_tien">#REF!</definedName>
    <definedName name="gia_tien_BTN" localSheetId="7">#REF!</definedName>
    <definedName name="gia_tien_BTN">#REF!</definedName>
    <definedName name="Gia_thanh_1_m3_be_tong_chÌn" localSheetId="7">#REF!</definedName>
    <definedName name="Gia_thanh_1_m3_be_tong_chÌn">#REF!</definedName>
    <definedName name="Gia_thanh_vËn_chuyÓn_néi_bé" localSheetId="7">#REF!</definedName>
    <definedName name="Gia_thanh_vËn_chuyÓn_néi_bé">#REF!</definedName>
    <definedName name="Gia_vËt_liÖu_dÕn_hiÖn_truêng" localSheetId="7">#REF!</definedName>
    <definedName name="Gia_vËt_liÖu_dÕn_hiÖn_truêng">#REF!</definedName>
    <definedName name="Gia_VT" localSheetId="7">#REF!</definedName>
    <definedName name="Gia_VT">#REF!</definedName>
    <definedName name="GIAVLIEUTN" localSheetId="7">#REF!</definedName>
    <definedName name="GIAVLIEUTN">#REF!</definedName>
    <definedName name="Giocong" localSheetId="7">#REF!</definedName>
    <definedName name="Giocong">#REF!</definedName>
    <definedName name="h" localSheetId="14" hidden="1">{"'Sheet1'!$L$16"}</definedName>
    <definedName name="h" localSheetId="3" hidden="1">{"'Sheet1'!$L$16"}</definedName>
    <definedName name="h" localSheetId="2" hidden="1">{"'Sheet1'!$L$16"}</definedName>
    <definedName name="h" localSheetId="5" hidden="1">{"'Sheet1'!$L$16"}</definedName>
    <definedName name="h" localSheetId="13" hidden="1">{"'Sheet1'!$L$16"}</definedName>
    <definedName name="h" hidden="1">{"'Sheet1'!$L$16"}</definedName>
    <definedName name="H_2" localSheetId="7">#REF!</definedName>
    <definedName name="H_2">#REF!</definedName>
    <definedName name="H_3" localSheetId="7">#REF!</definedName>
    <definedName name="H_3">#REF!</definedName>
    <definedName name="H_30" localSheetId="7">#REF!</definedName>
    <definedName name="H_30">#REF!</definedName>
    <definedName name="H_THUCTT" localSheetId="7">#REF!</definedName>
    <definedName name="H_THUCTT">#REF!</definedName>
    <definedName name="H_THUCHTHH" localSheetId="7">#REF!</definedName>
    <definedName name="H_THUCHTHH">#REF!</definedName>
    <definedName name="H1.2" localSheetId="7">#REF!</definedName>
    <definedName name="H1.2">#REF!</definedName>
    <definedName name="h2.2" localSheetId="7">#REF!</definedName>
    <definedName name="h2.2">#REF!</definedName>
    <definedName name="Ha" localSheetId="7">#REF!</definedName>
    <definedName name="Ha">#REF!</definedName>
    <definedName name="hc" localSheetId="7">#REF!</definedName>
    <definedName name="hc">#REF!</definedName>
    <definedName name="HCM" localSheetId="7">#REF!</definedName>
    <definedName name="HCM">#REF!</definedName>
    <definedName name="HCT" localSheetId="7">#REF!</definedName>
    <definedName name="HCT">#REF!</definedName>
    <definedName name="Hdao">0.3</definedName>
    <definedName name="Hdap">5.2</definedName>
    <definedName name="HDV" localSheetId="7">#REF!</definedName>
    <definedName name="HDV">#REF!</definedName>
    <definedName name="HE_SO_KHO_KHAN_CANG_DAY" localSheetId="7">#REF!</definedName>
    <definedName name="HE_SO_KHO_KHAN_CANG_DAY">#REF!</definedName>
    <definedName name="Heä_soá_laép_xaø_H">1.7</definedName>
    <definedName name="heä_soá_sình_laày" localSheetId="7">#REF!</definedName>
    <definedName name="heä_soá_sình_laày">#REF!</definedName>
    <definedName name="HG_P" localSheetId="7">#REF!</definedName>
    <definedName name="HG_P">#REF!</definedName>
    <definedName name="HG_PC" localSheetId="7">#REF!</definedName>
    <definedName name="HG_PC">#REF!</definedName>
    <definedName name="HG_PH" localSheetId="7">#REF!</definedName>
    <definedName name="HG_PH">#REF!</definedName>
    <definedName name="HG_T" localSheetId="7">#REF!</definedName>
    <definedName name="HG_T">#REF!</definedName>
    <definedName name="HG_TR" localSheetId="7">#REF!</definedName>
    <definedName name="HG_TR">#REF!</definedName>
    <definedName name="HH" localSheetId="7">#REF!</definedName>
    <definedName name="HH">#REF!</definedName>
    <definedName name="hhh" localSheetId="2" hidden="1">{"'Sheet1'!$L$16"}</definedName>
    <definedName name="hhh" localSheetId="5" hidden="1">{"'Sheet1'!$L$16"}</definedName>
    <definedName name="hhh" hidden="1">{"'Sheet1'!$L$16"}</definedName>
    <definedName name="HHTT" localSheetId="7">#REF!</definedName>
    <definedName name="HHTT">#REF!</definedName>
    <definedName name="HiddenRows" localSheetId="2" hidden="1">#REF!</definedName>
    <definedName name="HiddenRows" localSheetId="5" hidden="1">#REF!</definedName>
    <definedName name="HiddenRows" localSheetId="7" hidden="1">#REF!</definedName>
    <definedName name="HiddenRows" hidden="1">#REF!</definedName>
    <definedName name="hien" localSheetId="7">#REF!</definedName>
    <definedName name="hien">#REF!</definedName>
    <definedName name="Hinh_thuc" localSheetId="7">#REF!</definedName>
    <definedName name="Hinh_thuc">#REF!</definedName>
    <definedName name="hj" localSheetId="2" hidden="1">{"'Sheet1'!$L$16"}</definedName>
    <definedName name="hj" localSheetId="5" hidden="1">{"'Sheet1'!$L$16"}</definedName>
    <definedName name="hj" hidden="1">{"'Sheet1'!$L$16"}</definedName>
    <definedName name="HM" localSheetId="7">#REF!</definedName>
    <definedName name="HM">#REF!</definedName>
    <definedName name="HM1_1" localSheetId="7">#REF!</definedName>
    <definedName name="HM1_1">#REF!</definedName>
    <definedName name="hoc">55000</definedName>
    <definedName name="HOCMON" localSheetId="7">#REF!</definedName>
    <definedName name="HOCMON">#REF!</definedName>
    <definedName name="HOME_MANP" localSheetId="7">#REF!</definedName>
    <definedName name="HOME_MANP">#REF!</definedName>
    <definedName name="HOMEOFFICE_COST" localSheetId="7">#REF!</definedName>
    <definedName name="HOMEOFFICE_COST">#REF!</definedName>
    <definedName name="hoten" localSheetId="7">#REF!</definedName>
    <definedName name="hoten">#REF!</definedName>
    <definedName name="Hoü_vaì_tãn" localSheetId="7">#REF!</definedName>
    <definedName name="Hoü_vaì_tãn">#REF!</definedName>
    <definedName name="HS" localSheetId="7">#REF!</definedName>
    <definedName name="HS">#REF!</definedName>
    <definedName name="HS_BLUONG" localSheetId="7">#REF!</definedName>
    <definedName name="HS_BLUONG">#REF!</definedName>
    <definedName name="Hs_mtc" localSheetId="7">#REF!</definedName>
    <definedName name="Hs_mtc">#REF!</definedName>
    <definedName name="Hs_NC" localSheetId="7">#REF!</definedName>
    <definedName name="Hs_NC">#REF!</definedName>
    <definedName name="hsanfa" localSheetId="7">#REF!</definedName>
    <definedName name="hsanfa">#REF!</definedName>
    <definedName name="Hsc" localSheetId="7">#REF!</definedName>
    <definedName name="Hsc">#REF!</definedName>
    <definedName name="HSCT3">0.1</definedName>
    <definedName name="hsdc1" localSheetId="7">#REF!</definedName>
    <definedName name="hsdc1">#REF!</definedName>
    <definedName name="HSDN">2.5</definedName>
    <definedName name="HSHH" localSheetId="7">#REF!</definedName>
    <definedName name="HSHH">#REF!</definedName>
    <definedName name="HSHHUT" localSheetId="7">#REF!</definedName>
    <definedName name="HSHHUT">#REF!</definedName>
    <definedName name="hsk" localSheetId="7">#REF!</definedName>
    <definedName name="hsk">#REF!</definedName>
    <definedName name="HSKK35" localSheetId="7">#REF!</definedName>
    <definedName name="HSKK35">#REF!</definedName>
    <definedName name="HSLX" localSheetId="7">#REF!</definedName>
    <definedName name="HSLX">#REF!</definedName>
    <definedName name="HSLXH">1.7</definedName>
    <definedName name="HSLXP" localSheetId="7">#REF!</definedName>
    <definedName name="HSLXP">#REF!</definedName>
    <definedName name="hsn">0.5</definedName>
    <definedName name="hsnc_cau">2.5039</definedName>
    <definedName name="hsnc_cau2">1.626</definedName>
    <definedName name="hsnc_d">1.6356</definedName>
    <definedName name="hsnc_d2">1.6356</definedName>
    <definedName name="HSO" localSheetId="7">#REF!</definedName>
    <definedName name="HSO">#REF!</definedName>
    <definedName name="HSSL" localSheetId="7">#REF!</definedName>
    <definedName name="HSSL">#REF!</definedName>
    <definedName name="HSVC1" localSheetId="7">#REF!</definedName>
    <definedName name="HSVC1">#REF!</definedName>
    <definedName name="HSVC2" localSheetId="7">#REF!</definedName>
    <definedName name="HSVC2">#REF!</definedName>
    <definedName name="HSVC3" localSheetId="7">#REF!</definedName>
    <definedName name="HSVC3">#REF!</definedName>
    <definedName name="hsvl2">1</definedName>
    <definedName name="HT" localSheetId="7">#REF!</definedName>
    <definedName name="HT">#REF!</definedName>
    <definedName name="HTC" localSheetId="7">#REF!</definedName>
    <definedName name="HTC">#REF!</definedName>
    <definedName name="HTD" localSheetId="7">#REF!</definedName>
    <definedName name="HTD">#REF!</definedName>
    <definedName name="htdau" localSheetId="7">#REF!</definedName>
    <definedName name="htdau">#REF!</definedName>
    <definedName name="htlm" localSheetId="2" hidden="1">{"'Sheet1'!$L$16"}</definedName>
    <definedName name="htlm" localSheetId="5" hidden="1">{"'Sheet1'!$L$16"}</definedName>
    <definedName name="htlm" hidden="1">{"'Sheet1'!$L$16"}</definedName>
    <definedName name="HTML_CodePage" hidden="1">950</definedName>
    <definedName name="HTML_Control" localSheetId="14" hidden="1">{"'Sheet1'!$L$16"}</definedName>
    <definedName name="HTML_Control" localSheetId="3" hidden="1">{"'Sheet1'!$L$16"}</definedName>
    <definedName name="HTML_Control" localSheetId="2" hidden="1">{"'Sheet1'!$L$16"}</definedName>
    <definedName name="HTML_Control" localSheetId="5" hidden="1">{"'Sheet1'!$L$16"}</definedName>
    <definedName name="HTML_Control" localSheetId="1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7">#REF!</definedName>
    <definedName name="HTNC">#REF!</definedName>
    <definedName name="HTT" localSheetId="7">#REF!</definedName>
    <definedName name="HTT">#REF!</definedName>
    <definedName name="HTV" localSheetId="7">#REF!</definedName>
    <definedName name="HTV">#REF!</definedName>
    <definedName name="HTVL" localSheetId="7">#REF!</definedName>
    <definedName name="HTVL">#REF!</definedName>
    <definedName name="htham" localSheetId="7">#REF!</definedName>
    <definedName name="htham">#REF!</definedName>
    <definedName name="HTHH" localSheetId="7">#REF!</definedName>
    <definedName name="HTHH">#REF!</definedName>
    <definedName name="htrhrt" localSheetId="2" hidden="1">{"'Sheet1'!$L$16"}</definedName>
    <definedName name="htrhrt" localSheetId="5" hidden="1">{"'Sheet1'!$L$16"}</definedName>
    <definedName name="htrhrt" hidden="1">{"'Sheet1'!$L$16"}</definedName>
    <definedName name="hu" localSheetId="2" hidden="1">{"'Sheet1'!$L$16"}</definedName>
    <definedName name="hu" localSheetId="5" hidden="1">{"'Sheet1'!$L$16"}</definedName>
    <definedName name="hu" hidden="1">{"'Sheet1'!$L$16"}</definedName>
    <definedName name="huy" localSheetId="14" hidden="1">{"'Sheet1'!$L$16"}</definedName>
    <definedName name="huy" localSheetId="3" hidden="1">{"'Sheet1'!$L$16"}</definedName>
    <definedName name="huy" localSheetId="2" hidden="1">{"'Sheet1'!$L$16"}</definedName>
    <definedName name="huy" localSheetId="5" hidden="1">{"'Sheet1'!$L$16"}</definedName>
    <definedName name="huy" localSheetId="13" hidden="1">{"'Sheet1'!$L$16"}</definedName>
    <definedName name="huy" hidden="1">{"'Sheet1'!$L$16"}</definedName>
    <definedName name="HUYHAN" localSheetId="7">#REF!</definedName>
    <definedName name="HUYHAN">#REF!</definedName>
    <definedName name="HV">#N/A</definedName>
    <definedName name="HVC" localSheetId="7">#REF!</definedName>
    <definedName name="HVC">#REF!</definedName>
    <definedName name="HVK" localSheetId="7">#REF!</definedName>
    <definedName name="HVK">#REF!</definedName>
    <definedName name="HVT" localSheetId="7">#REF!</definedName>
    <definedName name="HVT">#REF!</definedName>
    <definedName name="I" localSheetId="7">#REF!</definedName>
    <definedName name="I">#REF!</definedName>
    <definedName name="I_A" localSheetId="7">#REF!</definedName>
    <definedName name="I_A">#REF!</definedName>
    <definedName name="I_B" localSheetId="7">#REF!</definedName>
    <definedName name="I_B">#REF!</definedName>
    <definedName name="I_c" localSheetId="7">#REF!</definedName>
    <definedName name="I_c">#REF!</definedName>
    <definedName name="IDLAB_COST" localSheetId="7">#REF!</definedName>
    <definedName name="IDLAB_COST">#REF!</definedName>
    <definedName name="II" localSheetId="7">#REF!</definedName>
    <definedName name="II">#REF!</definedName>
    <definedName name="II_A" localSheetId="7">#REF!</definedName>
    <definedName name="II_A">#REF!</definedName>
    <definedName name="II_B" localSheetId="7">#REF!</definedName>
    <definedName name="II_B">#REF!</definedName>
    <definedName name="II_c" localSheetId="7">#REF!</definedName>
    <definedName name="II_c">#REF!</definedName>
    <definedName name="III" localSheetId="7">#REF!</definedName>
    <definedName name="III">#REF!</definedName>
    <definedName name="III_a" localSheetId="7">#REF!</definedName>
    <definedName name="III_a">#REF!</definedName>
    <definedName name="III_B" localSheetId="7">#REF!</definedName>
    <definedName name="III_B">#REF!</definedName>
    <definedName name="III_c" localSheetId="7">#REF!</definedName>
    <definedName name="III_c">#REF!</definedName>
    <definedName name="in" localSheetId="7">#REF!</definedName>
    <definedName name="in">#REF!</definedName>
    <definedName name="INBL" localSheetId="7">#REF!</definedName>
    <definedName name="INBL">#REF!</definedName>
    <definedName name="IND_LAB" localSheetId="7">#REF!</definedName>
    <definedName name="IND_LAB">#REF!</definedName>
    <definedName name="INDMANP" localSheetId="7">#REF!</definedName>
    <definedName name="INDMANP">#REF!</definedName>
    <definedName name="inth" localSheetId="7">#REF!</definedName>
    <definedName name="inth">#REF!</definedName>
    <definedName name="Ip" localSheetId="7">#REF!</definedName>
    <definedName name="Ip">#REF!</definedName>
    <definedName name="Iran_Against" localSheetId="7">#REF!,#REF!,#REF!</definedName>
    <definedName name="Iran_Against">#REF!,#REF!,#REF!</definedName>
    <definedName name="Iran_Played" localSheetId="7">#REF!,#REF!,#REF!</definedName>
    <definedName name="Iran_Played">#REF!,#REF!,#REF!</definedName>
    <definedName name="IST" localSheetId="7">#REF!</definedName>
    <definedName name="IST">#REF!</definedName>
    <definedName name="Italy_Against" localSheetId="7">#REF!,#REF!,#REF!</definedName>
    <definedName name="Italy_Against">#REF!,#REF!,#REF!</definedName>
    <definedName name="Italy_Played" localSheetId="7">#REF!,#REF!,#REF!</definedName>
    <definedName name="Italy_Played">#REF!,#REF!,#REF!</definedName>
    <definedName name="IV" localSheetId="7">#REF!</definedName>
    <definedName name="IV">#REF!</definedName>
    <definedName name="Ivory_Against" localSheetId="7">#REF!,#REF!,#REF!</definedName>
    <definedName name="Ivory_Against">#REF!,#REF!,#REF!</definedName>
    <definedName name="Ivory_Played" localSheetId="7">#REF!,#REF!,#REF!</definedName>
    <definedName name="Ivory_Played">#REF!,#REF!,#REF!</definedName>
    <definedName name="j" localSheetId="7">#REF!</definedName>
    <definedName name="j">#REF!</definedName>
    <definedName name="j356C8" localSheetId="7">#REF!</definedName>
    <definedName name="j356C8">#REF!</definedName>
    <definedName name="Japan_Against" localSheetId="7">#REF!,#REF!,#REF!</definedName>
    <definedName name="Japan_Against">#REF!,#REF!,#REF!</definedName>
    <definedName name="Japan_Played" localSheetId="7">#REF!,#REF!,#REF!</definedName>
    <definedName name="Japan_Played">#REF!,#REF!,#REF!</definedName>
    <definedName name="K" localSheetId="7">#REF!</definedName>
    <definedName name="K">#REF!</definedName>
    <definedName name="KA" localSheetId="7">#REF!</definedName>
    <definedName name="KA">#REF!</definedName>
    <definedName name="KAE" localSheetId="7">#REF!</definedName>
    <definedName name="KAE">#REF!</definedName>
    <definedName name="KAS" localSheetId="7">#REF!</definedName>
    <definedName name="KAS">#REF!</definedName>
    <definedName name="kcong" localSheetId="7">#REF!</definedName>
    <definedName name="kcong">#REF!</definedName>
    <definedName name="KD" localSheetId="7">#REF!</definedName>
    <definedName name="KD">#REF!</definedName>
    <definedName name="kdien" localSheetId="7">#REF!</definedName>
    <definedName name="kdien">#REF!</definedName>
    <definedName name="KgBM" localSheetId="7">#REF!</definedName>
    <definedName name="KgBM">#REF!</definedName>
    <definedName name="Kgcot" localSheetId="7">#REF!</definedName>
    <definedName name="Kgcot">#REF!</definedName>
    <definedName name="KgCTd4" localSheetId="7">#REF!</definedName>
    <definedName name="KgCTd4">#REF!</definedName>
    <definedName name="KgCTt4" localSheetId="7">#REF!</definedName>
    <definedName name="KgCTt4">#REF!</definedName>
    <definedName name="Kgdamd4" localSheetId="7">#REF!</definedName>
    <definedName name="Kgdamd4">#REF!</definedName>
    <definedName name="Kgdamt4" localSheetId="7">#REF!</definedName>
    <definedName name="Kgdamt4">#REF!</definedName>
    <definedName name="Kgmong" localSheetId="7">#REF!</definedName>
    <definedName name="Kgmong">#REF!</definedName>
    <definedName name="KgNXOLdk" localSheetId="7">#REF!</definedName>
    <definedName name="KgNXOLdk">#REF!</definedName>
    <definedName name="Kgsan" localSheetId="7">#REF!</definedName>
    <definedName name="Kgsan">#REF!</definedName>
    <definedName name="kiem" localSheetId="7">#REF!</definedName>
    <definedName name="kiem">#REF!</definedName>
    <definedName name="Kiem_tra_trung_ten" localSheetId="7">#REF!</definedName>
    <definedName name="Kiem_tra_trung_ten">#REF!</definedName>
    <definedName name="KINH_PHI_DEN_BU" localSheetId="7">#REF!</definedName>
    <definedName name="KINH_PHI_DEN_BU">#REF!</definedName>
    <definedName name="KINH_PHI_DZ0.4KV" localSheetId="7">#REF!</definedName>
    <definedName name="KINH_PHI_DZ0.4KV">#REF!</definedName>
    <definedName name="KINH_PHI_DZ22KV" localSheetId="7">#REF!</definedName>
    <definedName name="KINH_PHI_DZ22KV">#REF!</definedName>
    <definedName name="KINH_PHI_KHAO_SAT__LAP_BCNCKT__TKKTTC" localSheetId="7">#REF!</definedName>
    <definedName name="KINH_PHI_KHAO_SAT__LAP_BCNCKT__TKKTTC">#REF!</definedName>
    <definedName name="KINH_PHI_KHO_BAI" localSheetId="7">#REF!</definedName>
    <definedName name="KINH_PHI_KHO_BAI">#REF!</definedName>
    <definedName name="KINH_PHI_TBA" localSheetId="7">#REF!</definedName>
    <definedName name="KINH_PHI_TBA">#REF!</definedName>
    <definedName name="Kinh_phÝ_thùc_hiÖn_dÒn_bï" localSheetId="7">#REF!</definedName>
    <definedName name="Kinh_phÝ_thùc_hiÖn_dÒn_bï">#REF!</definedName>
    <definedName name="kk">0.8</definedName>
    <definedName name="Kks" localSheetId="7">#REF!</definedName>
    <definedName name="Kks">#REF!</definedName>
    <definedName name="Kks." localSheetId="7">#REF!</definedName>
    <definedName name="Kks.">#REF!</definedName>
    <definedName name="KL" localSheetId="7">#REF!</definedName>
    <definedName name="KL">#REF!</definedName>
    <definedName name="kl_ME" localSheetId="7">#REF!</definedName>
    <definedName name="kl_ME">#REF!</definedName>
    <definedName name="KL_TA" localSheetId="7">#REF!</definedName>
    <definedName name="KL_TA">#REF!</definedName>
    <definedName name="KL_TBA" localSheetId="7">#REF!</definedName>
    <definedName name="KL_TBA">#REF!</definedName>
    <definedName name="KLduonggiaods" localSheetId="2" hidden="1">{"'Sheet1'!$L$16"}</definedName>
    <definedName name="KLduonggiaods" localSheetId="5" hidden="1">{"'Sheet1'!$L$16"}</definedName>
    <definedName name="KLduonggiaods" hidden="1">{"'Sheet1'!$L$16"}</definedName>
    <definedName name="KLTHDN" localSheetId="7">#REF!</definedName>
    <definedName name="KLTHDN">#REF!</definedName>
    <definedName name="KLVANKHUON" localSheetId="7">#REF!</definedName>
    <definedName name="KLVANKHUON">#REF!</definedName>
    <definedName name="Km" localSheetId="7">#REF!</definedName>
    <definedName name="Km">#REF!</definedName>
    <definedName name="Knc" localSheetId="7">#REF!</definedName>
    <definedName name="Knc">#REF!</definedName>
    <definedName name="Knc." localSheetId="7">#REF!</definedName>
    <definedName name="Knc.">#REF!</definedName>
    <definedName name="komtun" localSheetId="2" hidden="1">{"'Sheet1'!$L$16"}</definedName>
    <definedName name="komtun" localSheetId="5" hidden="1">{"'Sheet1'!$L$16"}</definedName>
    <definedName name="komtun" hidden="1">{"'Sheet1'!$L$16"}</definedName>
    <definedName name="kontum" localSheetId="2" hidden="1">{#N/A,#N/A,TRUE,"BT M200 da 10x20"}</definedName>
    <definedName name="kontum" localSheetId="5" hidden="1">{#N/A,#N/A,TRUE,"BT M200 da 10x20"}</definedName>
    <definedName name="kontum" hidden="1">{#N/A,#N/A,TRUE,"BT M200 da 10x20"}</definedName>
    <definedName name="Korea_Against" localSheetId="7">#REF!,#REF!,#REF!</definedName>
    <definedName name="Korea_Against">#REF!,#REF!,#REF!</definedName>
    <definedName name="Korea_Played" localSheetId="7">#REF!,#REF!,#REF!</definedName>
    <definedName name="Korea_Played">#REF!,#REF!,#REF!</definedName>
    <definedName name="KP" localSheetId="7">#REF!</definedName>
    <definedName name="KP">#REF!</definedName>
    <definedName name="kp1ph" localSheetId="7">#REF!</definedName>
    <definedName name="kp1ph">#REF!</definedName>
    <definedName name="Ks" localSheetId="7">#REF!</definedName>
    <definedName name="Ks">#REF!</definedName>
    <definedName name="ksbn" localSheetId="2" hidden="1">{"'Sheet1'!$L$16"}</definedName>
    <definedName name="ksbn" localSheetId="5" hidden="1">{"'Sheet1'!$L$16"}</definedName>
    <definedName name="ksbn" hidden="1">{"'Sheet1'!$L$16"}</definedName>
    <definedName name="kshn" localSheetId="2" hidden="1">{"'Sheet1'!$L$16"}</definedName>
    <definedName name="kshn" localSheetId="5" hidden="1">{"'Sheet1'!$L$16"}</definedName>
    <definedName name="kshn" hidden="1">{"'Sheet1'!$L$16"}</definedName>
    <definedName name="KSKTDZ" localSheetId="7">#REF!</definedName>
    <definedName name="KSKTDZ">#REF!</definedName>
    <definedName name="KSKTTBA" localSheetId="7">#REF!</definedName>
    <definedName name="KSKTTBA">#REF!</definedName>
    <definedName name="ksls" localSheetId="2" hidden="1">{"'Sheet1'!$L$16"}</definedName>
    <definedName name="ksls" localSheetId="5" hidden="1">{"'Sheet1'!$L$16"}</definedName>
    <definedName name="ksls" hidden="1">{"'Sheet1'!$L$16"}</definedName>
    <definedName name="ksp" localSheetId="7">#REF!</definedName>
    <definedName name="ksp">#REF!</definedName>
    <definedName name="KSTK" localSheetId="7">#REF!</definedName>
    <definedName name="KSTK">#REF!</definedName>
    <definedName name="KVC" localSheetId="7">#REF!</definedName>
    <definedName name="KVC">#REF!</definedName>
    <definedName name="kh" localSheetId="7">#REF!</definedName>
    <definedName name="kh">#REF!</definedName>
    <definedName name="KH_Chang" localSheetId="7">#REF!</definedName>
    <definedName name="KH_Chang">#REF!</definedName>
    <definedName name="khac" localSheetId="13">2</definedName>
    <definedName name="Khac">#REF!</definedName>
    <definedName name="KHANHKHUNG" localSheetId="2" hidden="1">{"'Sheet1'!$L$16"}</definedName>
    <definedName name="KHANHKHUNG" localSheetId="5" hidden="1">{"'Sheet1'!$L$16"}</definedName>
    <definedName name="KHANHKHUNG" hidden="1">{"'Sheet1'!$L$16"}</definedName>
    <definedName name="Khao_sat__bcnckt__thiÕt_kÕ_phÝ" localSheetId="7">#REF!</definedName>
    <definedName name="Khao_sat__bcnckt__thiÕt_kÕ_phÝ">#REF!</definedName>
    <definedName name="Khäúi_læåüng" localSheetId="7">#REF!</definedName>
    <definedName name="Khäúi_læåüng">#REF!</definedName>
    <definedName name="Khèi" localSheetId="7">#REF!</definedName>
    <definedName name="Khèi">#REF!</definedName>
    <definedName name="Khèi_luîng_dao_dat" localSheetId="7">#REF!</definedName>
    <definedName name="Khèi_luîng_dao_dat">#REF!</definedName>
    <definedName name="KHL" localSheetId="7">#REF!</definedName>
    <definedName name="KHL">#REF!</definedName>
    <definedName name="khla09" localSheetId="2" hidden="1">{"'Sheet1'!$L$16"}</definedName>
    <definedName name="khla09" localSheetId="5" hidden="1">{"'Sheet1'!$L$16"}</definedName>
    <definedName name="khla09" hidden="1">{"'Sheet1'!$L$16"}</definedName>
    <definedName name="khoan" localSheetId="7">#REF!</definedName>
    <definedName name="khoan">#REF!</definedName>
    <definedName name="Khong_can_doi">#REF!</definedName>
    <definedName name="khongtruotgia" localSheetId="2" hidden="1">{"'Sheet1'!$L$16"}</definedName>
    <definedName name="khongtruotgia" localSheetId="5" hidden="1">{"'Sheet1'!$L$16"}</definedName>
    <definedName name="khongtruotgia" hidden="1">{"'Sheet1'!$L$16"}</definedName>
    <definedName name="KhuyenmaiUPS">"AutoShape 264"</definedName>
    <definedName name="khvh09" localSheetId="2" hidden="1">{"'Sheet1'!$L$16"}</definedName>
    <definedName name="khvh09" localSheetId="5" hidden="1">{"'Sheet1'!$L$16"}</definedName>
    <definedName name="khvh09" hidden="1">{"'Sheet1'!$L$16"}</definedName>
    <definedName name="KHYt09" localSheetId="2" hidden="1">{"'Sheet1'!$L$16"}</definedName>
    <definedName name="KHYt09" localSheetId="5" hidden="1">{"'Sheet1'!$L$16"}</definedName>
    <definedName name="KHYt09" hidden="1">{"'Sheet1'!$L$16"}</definedName>
    <definedName name="L" localSheetId="7">#REF!</definedName>
    <definedName name="L">#REF!</definedName>
    <definedName name="L_1" localSheetId="7">#REF!</definedName>
    <definedName name="L_1">#REF!</definedName>
    <definedName name="L_2dau" localSheetId="7">#REF!</definedName>
    <definedName name="L_2dau">#REF!</definedName>
    <definedName name="L_3dau" localSheetId="7">#REF!</definedName>
    <definedName name="L_3dau">#REF!</definedName>
    <definedName name="L_mong" localSheetId="7">#REF!</definedName>
    <definedName name="L_mong">#REF!</definedName>
    <definedName name="L63x6">5800</definedName>
    <definedName name="Lai" localSheetId="7">#REF!</definedName>
    <definedName name="Lai">#REF!</definedName>
    <definedName name="laikhdz" localSheetId="7">#REF!</definedName>
    <definedName name="laikhdz">#REF!</definedName>
    <definedName name="LAMTUBE" localSheetId="7">#REF!</definedName>
    <definedName name="LAMTUBE">#REF!</definedName>
    <definedName name="lan" localSheetId="2" hidden="1">{#N/A,#N/A,TRUE,"BT M200 da 10x20"}</definedName>
    <definedName name="lan" localSheetId="5" hidden="1">{#N/A,#N/A,TRUE,"BT M200 da 10x20"}</definedName>
    <definedName name="lan" hidden="1">{#N/A,#N/A,TRUE,"BT M200 da 10x20"}</definedName>
    <definedName name="langson" localSheetId="2" hidden="1">{"'Sheet1'!$L$16"}</definedName>
    <definedName name="langson" localSheetId="5" hidden="1">{"'Sheet1'!$L$16"}</definedName>
    <definedName name="langson" hidden="1">{"'Sheet1'!$L$16"}</definedName>
    <definedName name="lanhto" localSheetId="7">#REF!</definedName>
    <definedName name="lanhto">#REF!</definedName>
    <definedName name="LAP_DAT_TBA" localSheetId="7">#REF!</definedName>
    <definedName name="LAP_DAT_TBA">#REF!</definedName>
    <definedName name="Last_Row">#N/A</definedName>
    <definedName name="LBS_22">107800000</definedName>
    <definedName name="Lc" localSheetId="7">#REF!</definedName>
    <definedName name="Lc">#REF!</definedName>
    <definedName name="LCD" localSheetId="7">#REF!</definedName>
    <definedName name="LCD">#REF!</definedName>
    <definedName name="lcn" localSheetId="7">#REF!</definedName>
    <definedName name="lcn">#REF!</definedName>
    <definedName name="LCT" localSheetId="7">#REF!</definedName>
    <definedName name="LCT">#REF!</definedName>
    <definedName name="LDAM" localSheetId="7">#REF!</definedName>
    <definedName name="LDAM">#REF!</definedName>
    <definedName name="Ldc" localSheetId="7">#REF!</definedName>
    <definedName name="Ldc">#REF!</definedName>
    <definedName name="Ldh" localSheetId="7">#REF!</definedName>
    <definedName name="Ldh">#REF!</definedName>
    <definedName name="LDM" localSheetId="7">#REF!</definedName>
    <definedName name="LDM">#REF!</definedName>
    <definedName name="LHSMTMS" localSheetId="7">#REF!</definedName>
    <definedName name="LHSMTMS">#REF!</definedName>
    <definedName name="LHSMTXL" localSheetId="7">#REF!</definedName>
    <definedName name="LHSMTXL">#REF!</definedName>
    <definedName name="LIET_KE_VI_TRI_DZ0.4KV" localSheetId="7">#REF!</definedName>
    <definedName name="LIET_KE_VI_TRI_DZ0.4KV">#REF!</definedName>
    <definedName name="LIET_KE_VI_TRI_DZ22KV" localSheetId="7">#REF!</definedName>
    <definedName name="LIET_KE_VI_TRI_DZ22KV">#REF!</definedName>
    <definedName name="LiÖt_ke_cac_loai_cét" localSheetId="7">#REF!</definedName>
    <definedName name="LiÖt_ke_cac_loai_cét">#REF!</definedName>
    <definedName name="list" localSheetId="7">#REF!</definedName>
    <definedName name="list">#REF!</definedName>
    <definedName name="LK_hathe" localSheetId="7">#REF!</definedName>
    <definedName name="LK_hathe">#REF!</definedName>
    <definedName name="Lmk" localSheetId="7">#REF!</definedName>
    <definedName name="Lmk">#REF!</definedName>
    <definedName name="ln" localSheetId="7">#REF!</definedName>
    <definedName name="ln">#REF!</definedName>
    <definedName name="LNCKT" localSheetId="7">#REF!</definedName>
    <definedName name="LNCKT">#REF!</definedName>
    <definedName name="Lnsc" localSheetId="7">#REF!</definedName>
    <definedName name="Lnsc">#REF!</definedName>
    <definedName name="Lo" localSheetId="7">#REF!</definedName>
    <definedName name="Lo">#REF!</definedName>
    <definedName name="LO283K" localSheetId="7">#REF!</definedName>
    <definedName name="LO283K">#REF!</definedName>
    <definedName name="LO815K" localSheetId="7">#REF!</definedName>
    <definedName name="LO815K">#REF!</definedName>
    <definedName name="LOAI_COT" localSheetId="7">#REF!</definedName>
    <definedName name="LOAI_COT">#REF!</definedName>
    <definedName name="Loai_TD" localSheetId="7">#REF!</definedName>
    <definedName name="Loai_TD">#REF!</definedName>
    <definedName name="Lt" localSheetId="7">#REF!</definedName>
    <definedName name="Lt">#REF!</definedName>
    <definedName name="LTD" localSheetId="7">#REF!</definedName>
    <definedName name="LTD">#REF!</definedName>
    <definedName name="LTT" localSheetId="7">#REF!</definedName>
    <definedName name="LTT">#REF!</definedName>
    <definedName name="ltre" localSheetId="7">#REF!</definedName>
    <definedName name="ltre">#REF!</definedName>
    <definedName name="luong" localSheetId="7">#REF!</definedName>
    <definedName name="luong">#REF!</definedName>
    <definedName name="LUONGBIENDONG" localSheetId="7">#REF!</definedName>
    <definedName name="LUONGBIENDONG">#REF!</definedName>
    <definedName name="lVC" localSheetId="7">#REF!</definedName>
    <definedName name="lVC">#REF!</definedName>
    <definedName name="LVT" localSheetId="7">#REF!</definedName>
    <definedName name="LVT">#REF!</definedName>
    <definedName name="m" localSheetId="7">#REF!</definedName>
    <definedName name="m">#REF!</definedName>
    <definedName name="M10aa1p" localSheetId="7">#REF!</definedName>
    <definedName name="M10aa1p">#REF!</definedName>
    <definedName name="M12ba3p" localSheetId="7">#REF!</definedName>
    <definedName name="M12ba3p">#REF!</definedName>
    <definedName name="M12bb1p" localSheetId="7">#REF!</definedName>
    <definedName name="M12bb1p">#REF!</definedName>
    <definedName name="M12cbnc" localSheetId="7">#REF!</definedName>
    <definedName name="M12cbnc">#REF!</definedName>
    <definedName name="M12cbvl" localSheetId="7">#REF!</definedName>
    <definedName name="M12cbvl">#REF!</definedName>
    <definedName name="M14bb1p" localSheetId="7">#REF!</definedName>
    <definedName name="M14bb1p">#REF!</definedName>
    <definedName name="m3btong" localSheetId="7">#REF!</definedName>
    <definedName name="m3btong">#REF!</definedName>
    <definedName name="m8aanc" localSheetId="7">#REF!</definedName>
    <definedName name="m8aanc">#REF!</definedName>
    <definedName name="m8aavl" localSheetId="7">#REF!</definedName>
    <definedName name="m8aavl">#REF!</definedName>
    <definedName name="ma" localSheetId="7">#REF!</definedName>
    <definedName name="ma">#REF!</definedName>
    <definedName name="MA_COTHA" localSheetId="7">#REF!</definedName>
    <definedName name="MA_COTHA">#REF!</definedName>
    <definedName name="Ma3pnc" localSheetId="7">#REF!</definedName>
    <definedName name="Ma3pnc">#REF!</definedName>
    <definedName name="Ma3pvl" localSheetId="7">#REF!</definedName>
    <definedName name="Ma3pvl">#REF!</definedName>
    <definedName name="Maa3pnc" localSheetId="7">#REF!</definedName>
    <definedName name="Maa3pnc">#REF!</definedName>
    <definedName name="Maa3pvl" localSheetId="7">#REF!</definedName>
    <definedName name="Maa3pvl">#REF!</definedName>
    <definedName name="MACOT_TA" localSheetId="7">#REF!</definedName>
    <definedName name="MACOT_TA">#REF!</definedName>
    <definedName name="Macro2" localSheetId="7">#REF!</definedName>
    <definedName name="Macro2">#REF!</definedName>
    <definedName name="Macro3" localSheetId="7">#REF!</definedName>
    <definedName name="Macro3">#REF!</definedName>
    <definedName name="MACTANG_BD" localSheetId="7">#REF!</definedName>
    <definedName name="MACTANG_BD">#REF!</definedName>
    <definedName name="MACTANG_HT_BD" localSheetId="7">#REF!</definedName>
    <definedName name="MACTANG_HT_BD">#REF!</definedName>
    <definedName name="MACTANG_HT_KT" localSheetId="7">#REF!</definedName>
    <definedName name="MACTANG_HT_KT">#REF!</definedName>
    <definedName name="MACTANG_KT" localSheetId="7">#REF!</definedName>
    <definedName name="MACTANG_KT">#REF!</definedName>
    <definedName name="MAHANG" localSheetId="7">#REF!</definedName>
    <definedName name="MAHANG">#REF!</definedName>
    <definedName name="MaHieu" localSheetId="7">#REF!</definedName>
    <definedName name="MaHieu">#REF!</definedName>
    <definedName name="Maïy" localSheetId="7">#REF!</definedName>
    <definedName name="Maïy">#REF!</definedName>
    <definedName name="MAJ_CON_EQP" localSheetId="7">#REF!</definedName>
    <definedName name="MAJ_CON_EQP">#REF!</definedName>
    <definedName name="MANPP" localSheetId="7">#REF!</definedName>
    <definedName name="MANPP">#REF!</definedName>
    <definedName name="MAÕCOÙ" localSheetId="7">#REF!</definedName>
    <definedName name="MAÕCOÙ">#REF!</definedName>
    <definedName name="MAÕNÔÏ" localSheetId="7">#REF!</definedName>
    <definedName name="MAÕNÔÏ">#REF!</definedName>
    <definedName name="MATP_GT" localSheetId="7">#REF!</definedName>
    <definedName name="MATP_GT">#REF!</definedName>
    <definedName name="Maùy_bieán_aùp_löïc_110_22_15KV___40MVA" localSheetId="7">#REF!</definedName>
    <definedName name="Maùy_bieán_aùp_löïc_110_22_15KV___40MVA">#REF!</definedName>
    <definedName name="MAVANKHUON" localSheetId="7">#REF!</definedName>
    <definedName name="MAVANKHUON">#REF!</definedName>
    <definedName name="MAVLTHDN" localSheetId="7">#REF!</definedName>
    <definedName name="MAVLTHDN">#REF!</definedName>
    <definedName name="MAY" localSheetId="7">#REF!</definedName>
    <definedName name="MAY">#REF!</definedName>
    <definedName name="mb" localSheetId="7">#REF!</definedName>
    <definedName name="mb">#REF!</definedName>
    <definedName name="Mba1p" localSheetId="7">#REF!</definedName>
    <definedName name="Mba1p">#REF!</definedName>
    <definedName name="Mba3p" localSheetId="7">#REF!</definedName>
    <definedName name="Mba3p">#REF!</definedName>
    <definedName name="Mbb3p" localSheetId="7">#REF!</definedName>
    <definedName name="Mbb3p">#REF!</definedName>
    <definedName name="Mbn1p" localSheetId="7">#REF!</definedName>
    <definedName name="Mbn1p">#REF!</definedName>
    <definedName name="mc" localSheetId="7">#REF!</definedName>
    <definedName name="mc">#REF!</definedName>
    <definedName name="mcn" localSheetId="7">#REF!</definedName>
    <definedName name="mcn">#REF!</definedName>
    <definedName name="mcqd" localSheetId="7">#REF!</definedName>
    <definedName name="mcqd">#REF!</definedName>
    <definedName name="MCT" localSheetId="7">#REF!</definedName>
    <definedName name="MCT">#REF!</definedName>
    <definedName name="mctn" localSheetId="7">#REF!</definedName>
    <definedName name="mctn">#REF!</definedName>
    <definedName name="md" localSheetId="7">#REF!</definedName>
    <definedName name="md">#REF!</definedName>
    <definedName name="MDV" localSheetId="7">#REF!</definedName>
    <definedName name="MDV">#REF!</definedName>
    <definedName name="me" localSheetId="7">#REF!</definedName>
    <definedName name="me">#REF!</definedName>
    <definedName name="Mexico_Against" localSheetId="7">#REF!,#REF!,#REF!</definedName>
    <definedName name="Mexico_Against">#REF!,#REF!,#REF!</definedName>
    <definedName name="Mexico_Played" localSheetId="7">#REF!,#REF!,#REF!</definedName>
    <definedName name="Mexico_Played">#REF!,#REF!,#REF!</definedName>
    <definedName name="MG_A" localSheetId="7">#REF!</definedName>
    <definedName name="MG_A">#REF!</definedName>
    <definedName name="mh" localSheetId="7">#REF!</definedName>
    <definedName name="mh">#REF!</definedName>
    <definedName name="mmba" localSheetId="7">#REF!</definedName>
    <definedName name="mmba">#REF!</definedName>
    <definedName name="mmc" localSheetId="7">#REF!</definedName>
    <definedName name="mmc">#REF!</definedName>
    <definedName name="MN" localSheetId="7">#REF!</definedName>
    <definedName name="MN">#REF!</definedName>
    <definedName name="MN12DZ22" localSheetId="7">#REF!</definedName>
    <definedName name="MN12DZ22">#REF!</definedName>
    <definedName name="MN15DZ22" localSheetId="7">#REF!</definedName>
    <definedName name="MN15DZ22">#REF!</definedName>
    <definedName name="MN18DZ22" localSheetId="7">#REF!</definedName>
    <definedName name="MN18DZ22">#REF!</definedName>
    <definedName name="MNPP" localSheetId="7">#REF!</definedName>
    <definedName name="MNPP">#REF!</definedName>
    <definedName name="MNTL" localSheetId="7">#REF!</definedName>
    <definedName name="MNTL">#REF!</definedName>
    <definedName name="mo" localSheetId="2" hidden="1">{"'Sheet1'!$L$16"}</definedName>
    <definedName name="mo" localSheetId="5" hidden="1">{"'Sheet1'!$L$16"}</definedName>
    <definedName name="mo" hidden="1">{"'Sheet1'!$L$16"}</definedName>
    <definedName name="MONG" localSheetId="7">#REF!</definedName>
    <definedName name="MONG">#REF!</definedName>
    <definedName name="mongbang" localSheetId="7">#REF!</definedName>
    <definedName name="mongbang">#REF!</definedName>
    <definedName name="mongdon" localSheetId="7">#REF!</definedName>
    <definedName name="mongdon">#REF!</definedName>
    <definedName name="MONGMSDZ04" localSheetId="7">#REF!</definedName>
    <definedName name="MONGMSDZ04">#REF!</definedName>
    <definedName name="Morong" localSheetId="7">#REF!</definedName>
    <definedName name="Morong">#REF!</definedName>
    <definedName name="Morong4054_85" localSheetId="7">#REF!</definedName>
    <definedName name="Morong4054_85">#REF!</definedName>
    <definedName name="morong4054_98" localSheetId="7">#REF!</definedName>
    <definedName name="morong4054_98">#REF!</definedName>
    <definedName name="Moùng" localSheetId="7">#REF!</definedName>
    <definedName name="Moùng">#REF!</definedName>
    <definedName name="MS5DZ22" localSheetId="7">#REF!</definedName>
    <definedName name="MS5DZ22">#REF!</definedName>
    <definedName name="MS6DZ22" localSheetId="7">#REF!</definedName>
    <definedName name="MS6DZ22">#REF!</definedName>
    <definedName name="MS7DZ22" localSheetId="7">#REF!</definedName>
    <definedName name="MS7DZ22">#REF!</definedName>
    <definedName name="MSCT" localSheetId="7">#REF!</definedName>
    <definedName name="MSCT">#REF!</definedName>
    <definedName name="MST" localSheetId="7">#REF!</definedName>
    <definedName name="MST">#REF!</definedName>
    <definedName name="MSTN" localSheetId="7">#REF!</definedName>
    <definedName name="MSTN">#REF!</definedName>
    <definedName name="MT2DZ22" localSheetId="7">#REF!</definedName>
    <definedName name="MT2DZ22">#REF!</definedName>
    <definedName name="MT3DZ22" localSheetId="7">#REF!</definedName>
    <definedName name="MT3DZ22">#REF!</definedName>
    <definedName name="MTMAC12" localSheetId="7">#REF!</definedName>
    <definedName name="MTMAC12">#REF!</definedName>
    <definedName name="mttb" localSheetId="7">#REF!</definedName>
    <definedName name="mttb">#REF!</definedName>
    <definedName name="mtram" localSheetId="7">#REF!</definedName>
    <definedName name="mtram">#REF!</definedName>
    <definedName name="Mu_" localSheetId="7">#REF!</definedName>
    <definedName name="Mu_">#REF!</definedName>
    <definedName name="MUA" localSheetId="7">#REF!</definedName>
    <definedName name="MUA">#REF!</definedName>
    <definedName name="MUA_SAM_DUNG_CU_CHUAN_BI_SAN_XUAT" localSheetId="7">#REF!</definedName>
    <definedName name="MUA_SAM_DUNG_CU_CHUAN_BI_SAN_XUAT">#REF!</definedName>
    <definedName name="MUA_SAM_THIET_BI" localSheetId="7">#REF!</definedName>
    <definedName name="MUA_SAM_THIET_BI">#REF!</definedName>
    <definedName name="MUA_SAM_VAT_LIEU_CHINH" localSheetId="7">#REF!</definedName>
    <definedName name="MUA_SAM_VAT_LIEU_CHINH">#REF!</definedName>
    <definedName name="N.THAÙNG" localSheetId="7">#REF!</definedName>
    <definedName name="N.THAÙNG">#REF!</definedName>
    <definedName name="n_gi" localSheetId="7">#REF!</definedName>
    <definedName name="n_gi">#REF!</definedName>
    <definedName name="n1pig" localSheetId="7">#REF!</definedName>
    <definedName name="n1pig">#REF!</definedName>
    <definedName name="N1pIGvc" localSheetId="7">#REF!</definedName>
    <definedName name="N1pIGvc">#REF!</definedName>
    <definedName name="n1pind" localSheetId="7">#REF!</definedName>
    <definedName name="n1pind">#REF!</definedName>
    <definedName name="N1pINDvc" localSheetId="7">#REF!</definedName>
    <definedName name="N1pINDvc">#REF!</definedName>
    <definedName name="n1pint" localSheetId="7">#REF!</definedName>
    <definedName name="n1pint">#REF!</definedName>
    <definedName name="n1ping" localSheetId="7">#REF!</definedName>
    <definedName name="n1ping">#REF!</definedName>
    <definedName name="N1pINGvc" localSheetId="7">#REF!</definedName>
    <definedName name="N1pINGvc">#REF!</definedName>
    <definedName name="Name" localSheetId="7">#REF!</definedName>
    <definedName name="Name">#REF!</definedName>
    <definedName name="NÂK" localSheetId="7">#REF!</definedName>
    <definedName name="NÂK">#REF!</definedName>
    <definedName name="nc1p" localSheetId="7">#REF!</definedName>
    <definedName name="nc1p">#REF!</definedName>
    <definedName name="nc3p" localSheetId="7">#REF!</definedName>
    <definedName name="nc3p">#REF!</definedName>
    <definedName name="NCBD100" localSheetId="7">#REF!</definedName>
    <definedName name="NCBD100">#REF!</definedName>
    <definedName name="NCBD200" localSheetId="7">#REF!</definedName>
    <definedName name="NCBD200">#REF!</definedName>
    <definedName name="NCBD250" localSheetId="7">#REF!</definedName>
    <definedName name="NCBD250">#REF!</definedName>
    <definedName name="NCcap0.7" localSheetId="7">#REF!</definedName>
    <definedName name="NCcap0.7">#REF!</definedName>
    <definedName name="NCcap1" localSheetId="7">#REF!</definedName>
    <definedName name="NCcap1">#REF!</definedName>
    <definedName name="NCCT3p" localSheetId="7">#REF!</definedName>
    <definedName name="NCCT3p">#REF!</definedName>
    <definedName name="NCKT" localSheetId="7">#REF!</definedName>
    <definedName name="NCKT">#REF!</definedName>
    <definedName name="NCT_BKTC" localSheetId="7">#REF!</definedName>
    <definedName name="NCT_BKTC">#REF!</definedName>
    <definedName name="nctram" localSheetId="7">#REF!</definedName>
    <definedName name="nctram">#REF!</definedName>
    <definedName name="NCVC100" localSheetId="7">#REF!</definedName>
    <definedName name="NCVC100">#REF!</definedName>
    <definedName name="NCVC200" localSheetId="7">#REF!</definedName>
    <definedName name="NCVC200">#REF!</definedName>
    <definedName name="NCVC250" localSheetId="7">#REF!</definedName>
    <definedName name="NCVC250">#REF!</definedName>
    <definedName name="NCVC3P" localSheetId="7">#REF!</definedName>
    <definedName name="NCVC3P">#REF!</definedName>
    <definedName name="ndk" localSheetId="7">#REF!</definedName>
    <definedName name="ndk">#REF!</definedName>
    <definedName name="Néi_dung_c_ng_viÖc" localSheetId="7">#REF!</definedName>
    <definedName name="Néi_dung_c_ng_viÖc">#REF!</definedName>
    <definedName name="NEO" localSheetId="7">#REF!</definedName>
    <definedName name="NEO">#REF!</definedName>
    <definedName name="NET" localSheetId="7">#REF!</definedName>
    <definedName name="NET">#REF!</definedName>
    <definedName name="NET_1" localSheetId="7">#REF!</definedName>
    <definedName name="NET_1">#REF!</definedName>
    <definedName name="NET_ANA" localSheetId="7">#REF!</definedName>
    <definedName name="NET_ANA">#REF!</definedName>
    <definedName name="NET_ANA_1" localSheetId="7">#REF!</definedName>
    <definedName name="NET_ANA_1">#REF!</definedName>
    <definedName name="NET_ANA_2" localSheetId="7">#REF!</definedName>
    <definedName name="NET_ANA_2">#REF!</definedName>
    <definedName name="Netherlands_Against" localSheetId="7">#REF!,#REF!,#REF!</definedName>
    <definedName name="Netherlands_Against">#REF!,#REF!,#REF!</definedName>
    <definedName name="Netherlands_Played" localSheetId="7">#REF!,#REF!,#REF!</definedName>
    <definedName name="Netherlands_Played">#REF!,#REF!,#REF!</definedName>
    <definedName name="NewPOS" localSheetId="7">#REF!</definedName>
    <definedName name="NewPOS">#REF!</definedName>
    <definedName name="nig" localSheetId="7">#REF!</definedName>
    <definedName name="nig">#REF!</definedName>
    <definedName name="nig1p" localSheetId="7">#REF!</definedName>
    <definedName name="nig1p">#REF!</definedName>
    <definedName name="nig3p" localSheetId="7">#REF!</definedName>
    <definedName name="nig3p">#REF!</definedName>
    <definedName name="NIGnc" localSheetId="7">#REF!</definedName>
    <definedName name="NIGnc">#REF!</definedName>
    <definedName name="nignc1p" localSheetId="7">#REF!</definedName>
    <definedName name="nignc1p">#REF!</definedName>
    <definedName name="NIGvc" localSheetId="7">#REF!</definedName>
    <definedName name="NIGvc">#REF!</definedName>
    <definedName name="NIGvl" localSheetId="7">#REF!</definedName>
    <definedName name="NIGvl">#REF!</definedName>
    <definedName name="nigvl1p" localSheetId="7">#REF!</definedName>
    <definedName name="nigvl1p">#REF!</definedName>
    <definedName name="nin" localSheetId="7">#REF!</definedName>
    <definedName name="nin">#REF!</definedName>
    <definedName name="nin14nc3p" localSheetId="7">#REF!</definedName>
    <definedName name="nin14nc3p">#REF!</definedName>
    <definedName name="nin14vl3p" localSheetId="7">#REF!</definedName>
    <definedName name="nin14vl3p">#REF!</definedName>
    <definedName name="nin1903p" localSheetId="7">#REF!</definedName>
    <definedName name="nin1903p">#REF!</definedName>
    <definedName name="nin190nc3p" localSheetId="7">#REF!</definedName>
    <definedName name="nin190nc3p">#REF!</definedName>
    <definedName name="nin190vl3p" localSheetId="7">#REF!</definedName>
    <definedName name="nin190vl3p">#REF!</definedName>
    <definedName name="nin2903p" localSheetId="7">#REF!</definedName>
    <definedName name="nin2903p">#REF!</definedName>
    <definedName name="nin290nc3p" localSheetId="7">#REF!</definedName>
    <definedName name="nin290nc3p">#REF!</definedName>
    <definedName name="nin290vl3p" localSheetId="7">#REF!</definedName>
    <definedName name="nin290vl3p">#REF!</definedName>
    <definedName name="nin3p" localSheetId="7">#REF!</definedName>
    <definedName name="nin3p">#REF!</definedName>
    <definedName name="nind" localSheetId="7">#REF!</definedName>
    <definedName name="nind">#REF!</definedName>
    <definedName name="nind1p" localSheetId="7">#REF!</definedName>
    <definedName name="nind1p">#REF!</definedName>
    <definedName name="nind3p" localSheetId="7">#REF!</definedName>
    <definedName name="nind3p">#REF!</definedName>
    <definedName name="nindnc1p" localSheetId="7">#REF!</definedName>
    <definedName name="nindnc1p">#REF!</definedName>
    <definedName name="nindnc3p" localSheetId="7">#REF!</definedName>
    <definedName name="nindnc3p">#REF!</definedName>
    <definedName name="NINDvc" localSheetId="7">#REF!</definedName>
    <definedName name="NINDvc">#REF!</definedName>
    <definedName name="nindvl1p" localSheetId="7">#REF!</definedName>
    <definedName name="nindvl1p">#REF!</definedName>
    <definedName name="nindvl3p" localSheetId="7">#REF!</definedName>
    <definedName name="nindvl3p">#REF!</definedName>
    <definedName name="ninnc3p" localSheetId="7">#REF!</definedName>
    <definedName name="ninnc3p">#REF!</definedName>
    <definedName name="nint1p" localSheetId="7">#REF!</definedName>
    <definedName name="nint1p">#REF!</definedName>
    <definedName name="nintnc1p" localSheetId="7">#REF!</definedName>
    <definedName name="nintnc1p">#REF!</definedName>
    <definedName name="nintvl1p" localSheetId="7">#REF!</definedName>
    <definedName name="nintvl1p">#REF!</definedName>
    <definedName name="NINvc" localSheetId="7">#REF!</definedName>
    <definedName name="NINvc">#REF!</definedName>
    <definedName name="ninvl3p" localSheetId="7">#REF!</definedName>
    <definedName name="ninvl3p">#REF!</definedName>
    <definedName name="ning1p" localSheetId="7">#REF!</definedName>
    <definedName name="ning1p">#REF!</definedName>
    <definedName name="ningnc1p" localSheetId="7">#REF!</definedName>
    <definedName name="ningnc1p">#REF!</definedName>
    <definedName name="ningvl1p" localSheetId="7">#REF!</definedName>
    <definedName name="ningvl1p">#REF!</definedName>
    <definedName name="nl" localSheetId="7">#REF!</definedName>
    <definedName name="nl">#REF!</definedName>
    <definedName name="nl1p" localSheetId="7">#REF!</definedName>
    <definedName name="nl1p">#REF!</definedName>
    <definedName name="nl3p" localSheetId="7">#REF!</definedName>
    <definedName name="nl3p">#REF!</definedName>
    <definedName name="nlnc3p" localSheetId="7">#REF!</definedName>
    <definedName name="nlnc3p">#REF!</definedName>
    <definedName name="nlnc3pha" localSheetId="7">#REF!</definedName>
    <definedName name="nlnc3pha">#REF!</definedName>
    <definedName name="NLTK1p" localSheetId="7">#REF!</definedName>
    <definedName name="NLTK1p">#REF!</definedName>
    <definedName name="nlvl3p" localSheetId="7">#REF!</definedName>
    <definedName name="nlvl3p">#REF!</definedName>
    <definedName name="Nms" localSheetId="7">#REF!</definedName>
    <definedName name="Nms">#REF!</definedName>
    <definedName name="nn" localSheetId="7">#REF!</definedName>
    <definedName name="nn">#REF!</definedName>
    <definedName name="nn1p" localSheetId="7">#REF!</definedName>
    <definedName name="nn1p">#REF!</definedName>
    <definedName name="nn3p" localSheetId="7">#REF!</definedName>
    <definedName name="nn3p">#REF!</definedName>
    <definedName name="nnn" localSheetId="7">#REF!</definedName>
    <definedName name="nnn">#REF!</definedName>
    <definedName name="nnnc3p" localSheetId="7">#REF!</definedName>
    <definedName name="nnnc3p">#REF!</definedName>
    <definedName name="nnvl3p" localSheetId="7">#REF!</definedName>
    <definedName name="nnvl3p">#REF!</definedName>
    <definedName name="No" localSheetId="7">#REF!</definedName>
    <definedName name="No">#REF!</definedName>
    <definedName name="NOÄI_DUNG" localSheetId="7">#REF!</definedName>
    <definedName name="NOÄI_DUNG">#REF!</definedName>
    <definedName name="NODC" localSheetId="7">#REF!</definedName>
    <definedName name="NODC">#REF!</definedName>
    <definedName name="NOISUY" localSheetId="7">#REF!</definedName>
    <definedName name="NOISUY">#REF!</definedName>
    <definedName name="none" localSheetId="7">#REF!</definedName>
    <definedName name="none">#REF!</definedName>
    <definedName name="NPP" localSheetId="7">#REF!</definedName>
    <definedName name="NPP">#REF!</definedName>
    <definedName name="Nq" localSheetId="7">#REF!</definedName>
    <definedName name="Nq">#REF!</definedName>
    <definedName name="NQD">#REF!</definedName>
    <definedName name="nsl" localSheetId="7">#REF!</definedName>
    <definedName name="nsl">#REF!</definedName>
    <definedName name="NU" localSheetId="7">#REF!</definedName>
    <definedName name="NU">#REF!</definedName>
    <definedName name="Number_of_Payments" localSheetId="7">MATCH(0.01,End_Bal,-1)+1</definedName>
    <definedName name="Number_of_Payments">MATCH(0.01,End_Bal,-1)+1</definedName>
    <definedName name="nv" localSheetId="7">#REF!</definedName>
    <definedName name="nv">#REF!</definedName>
    <definedName name="NXT" localSheetId="7">#REF!</definedName>
    <definedName name="NXT">#REF!</definedName>
    <definedName name="NG_THANG" localSheetId="7">#REF!</definedName>
    <definedName name="NG_THANG">#REF!</definedName>
    <definedName name="ngamHA" localSheetId="7">#REF!</definedName>
    <definedName name="ngamHA">#REF!</definedName>
    <definedName name="NGAØY" localSheetId="7">#REF!</definedName>
    <definedName name="NGAØY">#REF!</definedName>
    <definedName name="ngau" localSheetId="7">#REF!</definedName>
    <definedName name="ngau">#REF!</definedName>
    <definedName name="NGUYEÃN_THÒ" localSheetId="7">#REF!</definedName>
    <definedName name="NGUYEÃN_THÒ">#REF!</definedName>
    <definedName name="NH" localSheetId="7">#REF!</definedName>
    <definedName name="NH">#REF!</definedName>
    <definedName name="NHAÄP" localSheetId="7">#REF!</definedName>
    <definedName name="NHAÄP">#REF!</definedName>
    <definedName name="NHAÂN_COÂNG" localSheetId="7">'54 (2)'!BTRAM</definedName>
    <definedName name="NHAÂN_COÂNG">BTRAM</definedName>
    <definedName name="Nhán_cäng" localSheetId="7">#REF!</definedName>
    <definedName name="Nhán_cäng">#REF!</definedName>
    <definedName name="NHANH2_CG4" localSheetId="2" hidden="1">{"'Sheet1'!$L$16"}</definedName>
    <definedName name="NHANH2_CG4" localSheetId="5" hidden="1">{"'Sheet1'!$L$16"}</definedName>
    <definedName name="NHANH2_CG4" hidden="1">{"'Sheet1'!$L$16"}</definedName>
    <definedName name="Nhapsolieu" localSheetId="7">#REF!</definedName>
    <definedName name="Nhapsolieu">#REF!</definedName>
    <definedName name="nhn" localSheetId="7">#REF!</definedName>
    <definedName name="nhn">#REF!</definedName>
    <definedName name="NHot" localSheetId="7">#REF!</definedName>
    <definedName name="NHot">#REF!</definedName>
    <definedName name="nhua" localSheetId="7">#REF!</definedName>
    <definedName name="nhua">#REF!</definedName>
    <definedName name="ong" localSheetId="7">#REF!</definedName>
    <definedName name="ong">#REF!</definedName>
    <definedName name="OrderTable" localSheetId="2" hidden="1">#REF!</definedName>
    <definedName name="OrderTable" localSheetId="5" hidden="1">#REF!</definedName>
    <definedName name="OrderTable" localSheetId="7" hidden="1">#REF!</definedName>
    <definedName name="OrderTable" hidden="1">#REF!</definedName>
    <definedName name="oxy" localSheetId="7">#REF!</definedName>
    <definedName name="oxy">#REF!</definedName>
    <definedName name="PA" localSheetId="7">#REF!</definedName>
    <definedName name="PA">#REF!</definedName>
    <definedName name="PAIII_" localSheetId="2" hidden="1">{"'Sheet1'!$L$16"}</definedName>
    <definedName name="PAIII_" localSheetId="5" hidden="1">{"'Sheet1'!$L$16"}</definedName>
    <definedName name="PAIII_" hidden="1">{"'Sheet1'!$L$16"}</definedName>
    <definedName name="panen" localSheetId="7">#REF!</definedName>
    <definedName name="panen">#REF!</definedName>
    <definedName name="Paraguay_Against" localSheetId="7">#REF!,#REF!,#REF!</definedName>
    <definedName name="Paraguay_Against">#REF!,#REF!,#REF!</definedName>
    <definedName name="Paraguay_Played" localSheetId="7">#REF!,#REF!,#REF!</definedName>
    <definedName name="Paraguay_Played">#REF!,#REF!,#REF!</definedName>
    <definedName name="PCKV" localSheetId="7">#REF!</definedName>
    <definedName name="PCKV">#REF!</definedName>
    <definedName name="PCTH" localSheetId="7">#REF!</definedName>
    <definedName name="PCTH">#REF!</definedName>
    <definedName name="PChe" localSheetId="7">#REF!</definedName>
    <definedName name="PChe">#REF!</definedName>
    <definedName name="pgia" localSheetId="7">#REF!</definedName>
    <definedName name="pgia">#REF!</definedName>
    <definedName name="PIP" localSheetId="14">BlankMacro1</definedName>
    <definedName name="PIP" localSheetId="3">BlankMacro1</definedName>
    <definedName name="PIP" localSheetId="2">BlankMacro1</definedName>
    <definedName name="PIP" localSheetId="5">BlankMacro1</definedName>
    <definedName name="PIP" localSheetId="7">BlankMacro1</definedName>
    <definedName name="PIP" localSheetId="13">BlankMacro1</definedName>
    <definedName name="PIP">BlankMacro1</definedName>
    <definedName name="PIPE2" localSheetId="14">BlankMacro1</definedName>
    <definedName name="PIPE2" localSheetId="3">BlankMacro1</definedName>
    <definedName name="PIPE2" localSheetId="2">BlankMacro1</definedName>
    <definedName name="PIPE2" localSheetId="5">BlankMacro1</definedName>
    <definedName name="PIPE2" localSheetId="7">BlankMacro1</definedName>
    <definedName name="PIPE2" localSheetId="13">BlankMacro1</definedName>
    <definedName name="PIPE2">BlankMacro1</definedName>
    <definedName name="PMS" localSheetId="2" hidden="1">{"'Sheet1'!$L$16"}</definedName>
    <definedName name="PMS" localSheetId="5" hidden="1">{"'Sheet1'!$L$16"}</definedName>
    <definedName name="PMS" hidden="1">{"'Sheet1'!$L$16"}</definedName>
    <definedName name="PMUX" localSheetId="7">#REF!</definedName>
    <definedName name="PMUX">#REF!</definedName>
    <definedName name="Poland_Against" localSheetId="7">#REF!,#REF!,#REF!</definedName>
    <definedName name="Poland_Against">#REF!,#REF!,#REF!</definedName>
    <definedName name="Poland_Played" localSheetId="7">#REF!,#REF!,#REF!</definedName>
    <definedName name="Poland_Played">#REF!,#REF!,#REF!</definedName>
    <definedName name="Portugal_Against" localSheetId="7">#REF!,#REF!,#REF!</definedName>
    <definedName name="Portugal_Against">#REF!,#REF!,#REF!</definedName>
    <definedName name="Portugal_Played" localSheetId="7">#REF!,#REF!,#REF!</definedName>
    <definedName name="Portugal_Played">#REF!,#REF!,#REF!</definedName>
    <definedName name="PPP" localSheetId="14">BlankMacro1</definedName>
    <definedName name="PPP" localSheetId="3">BlankMacro1</definedName>
    <definedName name="PPP" localSheetId="2">BlankMacro1</definedName>
    <definedName name="PPP" localSheetId="5">BlankMacro1</definedName>
    <definedName name="PPP" localSheetId="7">BlankMacro1</definedName>
    <definedName name="PPP" localSheetId="13">BlankMacro1</definedName>
    <definedName name="PPP">BlankMacro1</definedName>
    <definedName name="PRICE" localSheetId="7">#REF!</definedName>
    <definedName name="PRICE">#REF!</definedName>
    <definedName name="PRICE1" localSheetId="7">#REF!</definedName>
    <definedName name="PRICE1">#REF!</definedName>
    <definedName name="_xlnm.Print_Area" localSheetId="14">' PL63nd31 (2)'!$A$1:$L$35</definedName>
    <definedName name="_xlnm.Print_Area" localSheetId="0">'48_'!$A$1:$E$43</definedName>
    <definedName name="_xlnm.Print_Area" localSheetId="3">#REF!</definedName>
    <definedName name="_xlnm.Print_Area" localSheetId="2">'50,,'!$A$1:$R$132</definedName>
    <definedName name="_xlnm.Print_Area" localSheetId="5">'52,.'!$A$1:$S$52</definedName>
    <definedName name="_xlnm.Print_Area" localSheetId="7">'54 (2)'!$A$1:$T$65</definedName>
    <definedName name="_xlnm.Print_Area" localSheetId="13">#REF!</definedName>
    <definedName name="_xlnm.Print_Area" localSheetId="4">'PL5137'!$A$1:$E$39</definedName>
    <definedName name="_xlnm.Print_Area" localSheetId="6">'PL5338'!$A$1:$K$43</definedName>
    <definedName name="_xlnm.Print_Area">#REF!</definedName>
    <definedName name="PRINT_AREA_MI" localSheetId="14">#REF!</definedName>
    <definedName name="PRINT_AREA_MI" localSheetId="7">#REF!</definedName>
    <definedName name="PRINT_AREA_MI" localSheetId="10">#REF!</definedName>
    <definedName name="PRINT_AREA_MI">#REF!</definedName>
    <definedName name="PRINT_TILTES" localSheetId="7">#REF!</definedName>
    <definedName name="PRINT_TILTES">#REF!</definedName>
    <definedName name="_xlnm.Print_Titles" localSheetId="0">'48_'!$8:$8</definedName>
    <definedName name="_xlnm.Print_Titles" localSheetId="3">'50'!$8:$9</definedName>
    <definedName name="_xlnm.Print_Titles" localSheetId="2">'50,,'!$6:$7</definedName>
    <definedName name="_xlnm.Print_Titles" localSheetId="5">'52,.'!$6:$7</definedName>
    <definedName name="_xlnm.Print_Titles" localSheetId="7">'54 (2)'!$11:$13</definedName>
    <definedName name="_xlnm.Print_Titles" localSheetId="13">#REF!</definedName>
    <definedName name="_xlnm.Print_Titles" localSheetId="15">'nhap mtqg'!$6:$8</definedName>
    <definedName name="_xlnm.Print_Titles" localSheetId="4">'PL5137'!$8:$8</definedName>
    <definedName name="_xlnm.Print_Titles" localSheetId="6">'PL5338'!$8:$12</definedName>
    <definedName name="_xlnm.Print_Titles" localSheetId="10">'PL5840'!$8:$11</definedName>
    <definedName name="_xlnm.Print_Titles">#REF!</definedName>
    <definedName name="Print_Titles_MI" localSheetId="7">#REF!</definedName>
    <definedName name="Print_Titles_MI">#REF!</definedName>
    <definedName name="PRINTA" localSheetId="7">#REF!</definedName>
    <definedName name="PRINTA">#REF!</definedName>
    <definedName name="PRINTB" localSheetId="7">#REF!</definedName>
    <definedName name="PRINTB">#REF!</definedName>
    <definedName name="PRINTC" localSheetId="7">#REF!</definedName>
    <definedName name="PRINTC">#REF!</definedName>
    <definedName name="ProdForm" localSheetId="2" hidden="1">#REF!</definedName>
    <definedName name="ProdForm" localSheetId="5" hidden="1">#REF!</definedName>
    <definedName name="ProdForm" localSheetId="7" hidden="1">#REF!</definedName>
    <definedName name="ProdForm" hidden="1">#REF!</definedName>
    <definedName name="Product" localSheetId="2" hidden="1">#REF!</definedName>
    <definedName name="Product" localSheetId="5" hidden="1">#REF!</definedName>
    <definedName name="Product" localSheetId="7" hidden="1">#REF!</definedName>
    <definedName name="Product" hidden="1">#REF!</definedName>
    <definedName name="PROPOSAL" localSheetId="7">#REF!</definedName>
    <definedName name="PROPOSAL">#REF!</definedName>
    <definedName name="Protex" localSheetId="7">#REF!</definedName>
    <definedName name="Protex">#REF!</definedName>
    <definedName name="PST" localSheetId="7">#REF!</definedName>
    <definedName name="PST">#REF!</definedName>
    <definedName name="pt" localSheetId="7">#REF!</definedName>
    <definedName name="pt">#REF!</definedName>
    <definedName name="PT_Duong" localSheetId="7">#REF!</definedName>
    <definedName name="PT_Duong">#REF!</definedName>
    <definedName name="ptdg" localSheetId="7">#REF!</definedName>
    <definedName name="ptdg">#REF!</definedName>
    <definedName name="PTDG_cau" localSheetId="7">#REF!</definedName>
    <definedName name="PTDG_cau">#REF!</definedName>
    <definedName name="ptdg_cong" localSheetId="7">#REF!</definedName>
    <definedName name="ptdg_cong">#REF!</definedName>
    <definedName name="ptdg_duong" localSheetId="7">#REF!</definedName>
    <definedName name="ptdg_duong">#REF!</definedName>
    <definedName name="ptdg_ke" localSheetId="7">#REF!</definedName>
    <definedName name="ptdg_ke">#REF!</definedName>
    <definedName name="PTE" localSheetId="7">#REF!</definedName>
    <definedName name="PTE">#REF!</definedName>
    <definedName name="PtichDTL">#N/A</definedName>
    <definedName name="pvd" localSheetId="7">#REF!</definedName>
    <definedName name="pvd">#REF!</definedName>
    <definedName name="Phan_cap">#REF!</definedName>
    <definedName name="PHAN_DIEN_DZ0.4KV" localSheetId="7">#REF!</definedName>
    <definedName name="PHAN_DIEN_DZ0.4KV">#REF!</definedName>
    <definedName name="PHAN_DIEN_DZ22KV" localSheetId="7">#REF!</definedName>
    <definedName name="PHAN_DIEN_DZ22KV">#REF!</definedName>
    <definedName name="PHAN_DIEN_TBA" localSheetId="7">#REF!</definedName>
    <definedName name="PHAN_DIEN_TBA">#REF!</definedName>
    <definedName name="PHAN_MUA_SAM_DZ0.4KV" localSheetId="7">#REF!</definedName>
    <definedName name="PHAN_MUA_SAM_DZ0.4KV">#REF!</definedName>
    <definedName name="PHAN_MUA_SAM_DZ22KV" localSheetId="7">#REF!</definedName>
    <definedName name="PHAN_MUA_SAM_DZ22KV">#REF!</definedName>
    <definedName name="Phan_thieát_ngaøy_27_thaùng_04_naêm_2000" localSheetId="7">#REF!</definedName>
    <definedName name="Phan_thieát_ngaøy_27_thaùng_04_naêm_2000">#REF!</definedName>
    <definedName name="phi" localSheetId="7">#REF!</definedName>
    <definedName name="phi">#REF!</definedName>
    <definedName name="Phi_le_phi">#REF!</definedName>
    <definedName name="Phone" localSheetId="7">#REF!</definedName>
    <definedName name="Phone">#REF!</definedName>
    <definedName name="phu_luc_vua" localSheetId="7">#REF!</definedName>
    <definedName name="phu_luc_vua">#REF!</definedName>
    <definedName name="PHUNHUAN" localSheetId="7">#REF!</definedName>
    <definedName name="PHUNHUAN">#REF!</definedName>
    <definedName name="phuong" localSheetId="7">#REF!</definedName>
    <definedName name="phuong">#REF!</definedName>
    <definedName name="q" localSheetId="7">#REF!</definedName>
    <definedName name="q">#REF!</definedName>
    <definedName name="Q__m3_s">#N/A</definedName>
    <definedName name="Q__sè_721_Q__KH_T___27_5_03" localSheetId="7">TUANKHANHTUYET1</definedName>
    <definedName name="Q__sè_721_Q__KH_T___27_5_03">TUANKHANHTUYET1</definedName>
    <definedName name="qc" localSheetId="7">#REF!</definedName>
    <definedName name="qc">#REF!</definedName>
    <definedName name="QD" localSheetId="7">#REF!</definedName>
    <definedName name="QD">#REF!</definedName>
    <definedName name="QL18CLBC" localSheetId="7">#REF!</definedName>
    <definedName name="QL18CLBC">#REF!</definedName>
    <definedName name="QL18conlai" localSheetId="7">#REF!</definedName>
    <definedName name="QL18conlai">#REF!</definedName>
    <definedName name="qq" localSheetId="14">BlankMacro1</definedName>
    <definedName name="qq" localSheetId="3">BlankMacro1</definedName>
    <definedName name="qq" localSheetId="2">BlankMacro1</definedName>
    <definedName name="qq" localSheetId="5">BlankMacro1</definedName>
    <definedName name="qq" localSheetId="7">BlankMacro1</definedName>
    <definedName name="qq" localSheetId="13">BlankMacro1</definedName>
    <definedName name="qq">BlankMacro1</definedName>
    <definedName name="QUAN1" localSheetId="7">#REF!</definedName>
    <definedName name="QUAN1">#REF!</definedName>
    <definedName name="QUAN10" localSheetId="7">#REF!</definedName>
    <definedName name="QUAN10">#REF!</definedName>
    <definedName name="QUAN11" localSheetId="7">#REF!</definedName>
    <definedName name="QUAN11">#REF!</definedName>
    <definedName name="QUAN12" localSheetId="7">#REF!</definedName>
    <definedName name="QUAN12">#REF!</definedName>
    <definedName name="QUAN2" localSheetId="7">#REF!</definedName>
    <definedName name="QUAN2">#REF!</definedName>
    <definedName name="QUAN4" localSheetId="7">#REF!</definedName>
    <definedName name="QUAN4">#REF!</definedName>
    <definedName name="QUAN7" localSheetId="7">#REF!</definedName>
    <definedName name="QUAN7">#REF!</definedName>
    <definedName name="QUAN8B" localSheetId="7">#REF!</definedName>
    <definedName name="QUAN8B">#REF!</definedName>
    <definedName name="QUANGTIEN2" localSheetId="7">#REF!</definedName>
    <definedName name="QUANGTIEN2">#REF!</definedName>
    <definedName name="ra11p" localSheetId="7">#REF!</definedName>
    <definedName name="ra11p">#REF!</definedName>
    <definedName name="ra13p" localSheetId="7">#REF!</definedName>
    <definedName name="ra13p">#REF!</definedName>
    <definedName name="RCArea" localSheetId="2" hidden="1">#REF!</definedName>
    <definedName name="RCArea" localSheetId="5" hidden="1">#REF!</definedName>
    <definedName name="RCArea" localSheetId="7" hidden="1">#REF!</definedName>
    <definedName name="RCArea" hidden="1">#REF!</definedName>
    <definedName name="RDAM" localSheetId="7">#REF!</definedName>
    <definedName name="RDAM">#REF!</definedName>
    <definedName name="re" localSheetId="2" hidden="1">{"'Sheet1'!$L$16"}</definedName>
    <definedName name="re" localSheetId="5" hidden="1">{"'Sheet1'!$L$16"}</definedName>
    <definedName name="re" hidden="1">{"'Sheet1'!$L$16"}</definedName>
    <definedName name="_xlnm.Recorder" localSheetId="7">#REF!</definedName>
    <definedName name="_xlnm.Recorder">#REF!</definedName>
    <definedName name="RECOUT">#N/A</definedName>
    <definedName name="RFP003A" localSheetId="7">#REF!</definedName>
    <definedName name="RFP003A">#REF!</definedName>
    <definedName name="RFP003B" localSheetId="7">#REF!</definedName>
    <definedName name="RFP003B">#REF!</definedName>
    <definedName name="RFP003C" localSheetId="7">#REF!</definedName>
    <definedName name="RFP003C">#REF!</definedName>
    <definedName name="RFP003D" localSheetId="7">#REF!</definedName>
    <definedName name="RFP003D">#REF!</definedName>
    <definedName name="RFP003E" localSheetId="7">#REF!</definedName>
    <definedName name="RFP003E">#REF!</definedName>
    <definedName name="RFP003F" localSheetId="7">#REF!</definedName>
    <definedName name="RFP003F">#REF!</definedName>
    <definedName name="Rnd" localSheetId="7">#REF!</definedName>
    <definedName name="Rnd">#REF!</definedName>
    <definedName name="rnp">32</definedName>
    <definedName name="rong1" localSheetId="7">#REF!</definedName>
    <definedName name="rong1">#REF!</definedName>
    <definedName name="rong2" localSheetId="7">#REF!</definedName>
    <definedName name="rong2">#REF!</definedName>
    <definedName name="rong3" localSheetId="7">#REF!</definedName>
    <definedName name="rong3">#REF!</definedName>
    <definedName name="rong4" localSheetId="7">#REF!</definedName>
    <definedName name="rong4">#REF!</definedName>
    <definedName name="rong5" localSheetId="7">#REF!</definedName>
    <definedName name="rong5">#REF!</definedName>
    <definedName name="rong6" localSheetId="7">#REF!</definedName>
    <definedName name="rong6">#REF!</definedName>
    <definedName name="rr" localSheetId="2" hidden="1">{"'Sheet1'!$L$16"}</definedName>
    <definedName name="rr" localSheetId="5" hidden="1">{"'Sheet1'!$L$16"}</definedName>
    <definedName name="rr" hidden="1">{"'Sheet1'!$L$16"}</definedName>
    <definedName name="RTT" localSheetId="7">#REF!</definedName>
    <definedName name="RTT">#REF!</definedName>
    <definedName name="s" localSheetId="7">#REF!</definedName>
    <definedName name="s">#REF!</definedName>
    <definedName name="S.dinh">640</definedName>
    <definedName name="san" localSheetId="7">#REF!</definedName>
    <definedName name="san">#REF!</definedName>
    <definedName name="sand" localSheetId="7">#REF!</definedName>
    <definedName name="sand">#REF!</definedName>
    <definedName name="Saudi_Against" localSheetId="7">#REF!,#REF!,#REF!</definedName>
    <definedName name="Saudi_Against">#REF!,#REF!,#REF!</definedName>
    <definedName name="Saudi_Played" localSheetId="7">#REF!,#REF!,#REF!</definedName>
    <definedName name="Saudi_Played">#REF!,#REF!,#REF!</definedName>
    <definedName name="scao98" localSheetId="7">#REF!</definedName>
    <definedName name="scao98">#REF!</definedName>
    <definedName name="SCCR" localSheetId="7">#REF!</definedName>
    <definedName name="SCCR">#REF!</definedName>
    <definedName name="SCDT" localSheetId="7">#REF!</definedName>
    <definedName name="SCDT">#REF!</definedName>
    <definedName name="SCT_BKTC" localSheetId="7">#REF!</definedName>
    <definedName name="SCT_BKTC">#REF!</definedName>
    <definedName name="SCH" localSheetId="7">#REF!</definedName>
    <definedName name="SCH">#REF!</definedName>
    <definedName name="sd" localSheetId="7">#REF!</definedName>
    <definedName name="sd">#REF!</definedName>
    <definedName name="sd1p" localSheetId="7">#REF!</definedName>
    <definedName name="sd1p">#REF!</definedName>
    <definedName name="sdbv" localSheetId="2" hidden="1">{"'Sheet1'!$L$16"}</definedName>
    <definedName name="sdbv" localSheetId="5" hidden="1">{"'Sheet1'!$L$16"}</definedName>
    <definedName name="sdbv" hidden="1">{"'Sheet1'!$L$16"}</definedName>
    <definedName name="SDMONG" localSheetId="7">#REF!</definedName>
    <definedName name="SDMONG">#REF!</definedName>
    <definedName name="SDO_COT" localSheetId="7">#REF!</definedName>
    <definedName name="SDO_COT">#REF!</definedName>
    <definedName name="SDTK1" localSheetId="7">#REF!</definedName>
    <definedName name="SDTK1">#REF!</definedName>
    <definedName name="Sè" localSheetId="7">#REF!</definedName>
    <definedName name="Sè">#REF!</definedName>
    <definedName name="Sè_hiÖu" localSheetId="7">#REF!</definedName>
    <definedName name="Sè_hiÖu">#REF!</definedName>
    <definedName name="SEDI" localSheetId="7">#REF!</definedName>
    <definedName name="SEDI">#REF!</definedName>
    <definedName name="Sensation" localSheetId="7">#REF!</definedName>
    <definedName name="Sensation">#REF!</definedName>
    <definedName name="Serbia_Against" localSheetId="7">#REF!,#REF!,#REF!</definedName>
    <definedName name="Serbia_Against">#REF!,#REF!,#REF!</definedName>
    <definedName name="Serbia_Played" localSheetId="7">#REF!,#REF!,#REF!</definedName>
    <definedName name="Serbia_Played">#REF!,#REF!,#REF!</definedName>
    <definedName name="sgl" localSheetId="7">#REF!</definedName>
    <definedName name="sgl">#REF!</definedName>
    <definedName name="Sheet1" localSheetId="7">#REF!</definedName>
    <definedName name="Sheet1">#REF!</definedName>
    <definedName name="Sheet3" localSheetId="7">BlankMacro1</definedName>
    <definedName name="Sheet3">BlankMacro1</definedName>
    <definedName name="sht1p" localSheetId="7">#REF!</definedName>
    <definedName name="sht1p">#REF!</definedName>
    <definedName name="sieucao" localSheetId="7">#REF!</definedName>
    <definedName name="sieucao">#REF!</definedName>
    <definedName name="SIZE" localSheetId="7">#REF!</definedName>
    <definedName name="SIZE">#REF!</definedName>
    <definedName name="SKUcoverage" localSheetId="7">#REF!</definedName>
    <definedName name="SKUcoverage">#REF!</definedName>
    <definedName name="SL" localSheetId="7">#REF!</definedName>
    <definedName name="SL">#REF!</definedName>
    <definedName name="SL_CDN" localSheetId="7">#REF!</definedName>
    <definedName name="SL_CDN">#REF!</definedName>
    <definedName name="SL_COT" localSheetId="7">#REF!</definedName>
    <definedName name="SL_COT">#REF!</definedName>
    <definedName name="SL_CRD" localSheetId="7">#REF!</definedName>
    <definedName name="SL_CRD">#REF!</definedName>
    <definedName name="SL_CRS" localSheetId="7">#REF!</definedName>
    <definedName name="SL_CRS">#REF!</definedName>
    <definedName name="SL_CS" localSheetId="7">#REF!</definedName>
    <definedName name="SL_CS">#REF!</definedName>
    <definedName name="SL_DD" localSheetId="7">#REF!</definedName>
    <definedName name="SL_DD">#REF!</definedName>
    <definedName name="SL_DZ" localSheetId="7">#REF!</definedName>
    <definedName name="SL_DZ">#REF!</definedName>
    <definedName name="sl_HA" localSheetId="7">#REF!</definedName>
    <definedName name="sl_HA">#REF!</definedName>
    <definedName name="SL_KD" localSheetId="7">#REF!</definedName>
    <definedName name="SL_KD">#REF!</definedName>
    <definedName name="SL_MG" localSheetId="7">#REF!</definedName>
    <definedName name="SL_MG">#REF!</definedName>
    <definedName name="SL_MN" localSheetId="7">#REF!</definedName>
    <definedName name="SL_MN">#REF!</definedName>
    <definedName name="SL_NEO" localSheetId="7">#REF!</definedName>
    <definedName name="SL_NEO">#REF!</definedName>
    <definedName name="SL_SCH" localSheetId="7">#REF!</definedName>
    <definedName name="SL_SCH">#REF!</definedName>
    <definedName name="SL_SD" localSheetId="7">#REF!</definedName>
    <definedName name="SL_SD">#REF!</definedName>
    <definedName name="sl_TA" localSheetId="7">#REF!</definedName>
    <definedName name="sl_TA">#REF!</definedName>
    <definedName name="SL_TBA" localSheetId="7">#REF!</definedName>
    <definedName name="SL_TBA">#REF!</definedName>
    <definedName name="SL_TDIA" localSheetId="7">#REF!</definedName>
    <definedName name="SL_TDIA">#REF!</definedName>
    <definedName name="SL_XA" localSheetId="7">#REF!</definedName>
    <definedName name="SL_XA">#REF!</definedName>
    <definedName name="slg" localSheetId="7">#REF!</definedName>
    <definedName name="slg">#REF!</definedName>
    <definedName name="slk" localSheetId="7">#REF!</definedName>
    <definedName name="slk">#REF!</definedName>
    <definedName name="sll" localSheetId="7">#REF!</definedName>
    <definedName name="sll">#REF!</definedName>
    <definedName name="smt" localSheetId="7">#REF!</definedName>
    <definedName name="smt">#REF!</definedName>
    <definedName name="soc3p" localSheetId="7">#REF!</definedName>
    <definedName name="soc3p">#REF!</definedName>
    <definedName name="Soi" localSheetId="7">#REF!</definedName>
    <definedName name="Soi">#REF!</definedName>
    <definedName name="solieu" localSheetId="7">#REF!</definedName>
    <definedName name="solieu">#REF!</definedName>
    <definedName name="soluongdotcong" localSheetId="7">#REF!</definedName>
    <definedName name="soluongdotcong">#REF!</definedName>
    <definedName name="son" localSheetId="7">#REF!</definedName>
    <definedName name="son">#REF!</definedName>
    <definedName name="SORT" localSheetId="7">#REF!</definedName>
    <definedName name="SORT">#REF!</definedName>
    <definedName name="Sosanh2" localSheetId="2" hidden="1">{"'Sheet1'!$L$16"}</definedName>
    <definedName name="Sosanh2" localSheetId="5" hidden="1">{"'Sheet1'!$L$16"}</definedName>
    <definedName name="Sosanh2" hidden="1">{"'Sheet1'!$L$16"}</definedName>
    <definedName name="SOTIEN_BKTC" localSheetId="7">#REF!</definedName>
    <definedName name="SOTIEN_BKTC">#REF!</definedName>
    <definedName name="Spain_Against" localSheetId="7">#REF!,#REF!,#REF!</definedName>
    <definedName name="Spain_Against">#REF!,#REF!,#REF!</definedName>
    <definedName name="Spain_Played" localSheetId="7">#REF!,#REF!,#REF!</definedName>
    <definedName name="Spain_Played">#REF!,#REF!,#REF!</definedName>
    <definedName name="Spanner_Auto_File">"C:\My Documents\tinh cdo.x2a"</definedName>
    <definedName name="SPEC" localSheetId="7">#REF!</definedName>
    <definedName name="SPEC">#REF!</definedName>
    <definedName name="SpecialPrice" localSheetId="2" hidden="1">#REF!</definedName>
    <definedName name="SpecialPrice" localSheetId="5" hidden="1">#REF!</definedName>
    <definedName name="SpecialPrice" localSheetId="7" hidden="1">#REF!</definedName>
    <definedName name="SpecialPrice" hidden="1">#REF!</definedName>
    <definedName name="SPECSUMMARY" localSheetId="7">#REF!</definedName>
    <definedName name="SPECSUMMARY">#REF!</definedName>
    <definedName name="ss" localSheetId="14">BlankMacro1</definedName>
    <definedName name="ss" localSheetId="3">BlankMacro1</definedName>
    <definedName name="ss" localSheetId="2">BlankMacro1</definedName>
    <definedName name="ss" localSheetId="5">BlankMacro1</definedName>
    <definedName name="ss" localSheetId="7">BlankMacro1</definedName>
    <definedName name="ss" localSheetId="13">BlankMacro1</definedName>
    <definedName name="ss">BlankMacro1</definedName>
    <definedName name="st1p" localSheetId="7">#REF!</definedName>
    <definedName name="st1p">#REF!</definedName>
    <definedName name="Start_1" localSheetId="7">#REF!</definedName>
    <definedName name="Start_1">#REF!</definedName>
    <definedName name="Start_10" localSheetId="7">#REF!</definedName>
    <definedName name="Start_10">#REF!</definedName>
    <definedName name="Start_11" localSheetId="7">#REF!</definedName>
    <definedName name="Start_11">#REF!</definedName>
    <definedName name="Start_12" localSheetId="7">#REF!</definedName>
    <definedName name="Start_12">#REF!</definedName>
    <definedName name="Start_13" localSheetId="7">#REF!</definedName>
    <definedName name="Start_13">#REF!</definedName>
    <definedName name="Start_2" localSheetId="7">#REF!</definedName>
    <definedName name="Start_2">#REF!</definedName>
    <definedName name="Start_3" localSheetId="7">#REF!</definedName>
    <definedName name="Start_3">#REF!</definedName>
    <definedName name="Start_4" localSheetId="7">#REF!</definedName>
    <definedName name="Start_4">#REF!</definedName>
    <definedName name="Start_5" localSheetId="7">#REF!</definedName>
    <definedName name="Start_5">#REF!</definedName>
    <definedName name="Start_6" localSheetId="7">#REF!</definedName>
    <definedName name="Start_6">#REF!</definedName>
    <definedName name="Start_7" localSheetId="7">#REF!</definedName>
    <definedName name="Start_7">#REF!</definedName>
    <definedName name="Start_8" localSheetId="7">#REF!</definedName>
    <definedName name="Start_8">#REF!</definedName>
    <definedName name="Start_9" localSheetId="7">#REF!</definedName>
    <definedName name="Start_9">#REF!</definedName>
    <definedName name="State" localSheetId="7">#REF!</definedName>
    <definedName name="State">#REF!</definedName>
    <definedName name="stc" localSheetId="7">#REF!</definedName>
    <definedName name="stc">#REF!</definedName>
    <definedName name="Stck." localSheetId="7">#REF!</definedName>
    <definedName name="Stck.">#REF!</definedName>
    <definedName name="STD" localSheetId="7">#REF!</definedName>
    <definedName name="STD">#REF!</definedName>
    <definedName name="Sua" localSheetId="7">BlankMacro1</definedName>
    <definedName name="Sua">BlankMacro1</definedName>
    <definedName name="sub" localSheetId="7">#REF!</definedName>
    <definedName name="sub">#REF!</definedName>
    <definedName name="SUM" localSheetId="7">#REF!,#REF!</definedName>
    <definedName name="SUM">#REF!,#REF!</definedName>
    <definedName name="SUMMARY" localSheetId="7">#REF!</definedName>
    <definedName name="SUMMARY">#REF!</definedName>
    <definedName name="sur" localSheetId="7">#REF!</definedName>
    <definedName name="sur">#REF!</definedName>
    <definedName name="SW" localSheetId="7">#REF!</definedName>
    <definedName name="SW">#REF!</definedName>
    <definedName name="Sweden_Against" localSheetId="7">#REF!,#REF!,#REF!</definedName>
    <definedName name="Sweden_Against">#REF!,#REF!,#REF!</definedName>
    <definedName name="Sweden_Played" localSheetId="7">#REF!,#REF!,#REF!</definedName>
    <definedName name="Sweden_Played">#REF!,#REF!,#REF!</definedName>
    <definedName name="Switzerland_Against" localSheetId="7">#REF!,#REF!,#REF!</definedName>
    <definedName name="Switzerland_Against">#REF!,#REF!,#REF!</definedName>
    <definedName name="Switzerland_Played" localSheetId="7">#REF!,#REF!,#REF!</definedName>
    <definedName name="Switzerland_Played">#REF!,#REF!,#REF!</definedName>
    <definedName name="T" localSheetId="7">#REF!</definedName>
    <definedName name="T">#REF!</definedName>
    <definedName name="T.3" localSheetId="2" hidden="1">{"'Sheet1'!$L$16"}</definedName>
    <definedName name="T.3" localSheetId="5" hidden="1">{"'Sheet1'!$L$16"}</definedName>
    <definedName name="T.3" hidden="1">{"'Sheet1'!$L$16"}</definedName>
    <definedName name="T1_98_DAKLAK_List" localSheetId="7">#REF!</definedName>
    <definedName name="T1_98_DAKLAK_List">#REF!</definedName>
    <definedName name="t101p" localSheetId="7">#REF!</definedName>
    <definedName name="t101p">#REF!</definedName>
    <definedName name="t103p" localSheetId="7">#REF!</definedName>
    <definedName name="t103p">#REF!</definedName>
    <definedName name="t10nc1p" localSheetId="7">#REF!</definedName>
    <definedName name="t10nc1p">#REF!</definedName>
    <definedName name="t10vl1p" localSheetId="7">#REF!</definedName>
    <definedName name="t10vl1p">#REF!</definedName>
    <definedName name="t121p" localSheetId="7">#REF!</definedName>
    <definedName name="t121p">#REF!</definedName>
    <definedName name="t123p" localSheetId="7">#REF!</definedName>
    <definedName name="t123p">#REF!</definedName>
    <definedName name="T12vc" localSheetId="7">#REF!</definedName>
    <definedName name="T12vc">#REF!</definedName>
    <definedName name="t141p" localSheetId="7">#REF!</definedName>
    <definedName name="t141p">#REF!</definedName>
    <definedName name="t143p" localSheetId="7">#REF!</definedName>
    <definedName name="t143p">#REF!</definedName>
    <definedName name="t14nc3p" localSheetId="7">#REF!</definedName>
    <definedName name="t14nc3p">#REF!</definedName>
    <definedName name="t14vl3p" localSheetId="7">#REF!</definedName>
    <definedName name="t14vl3p">#REF!</definedName>
    <definedName name="T44QUAN3" localSheetId="7">#REF!</definedName>
    <definedName name="T44QUAN3">#REF!</definedName>
    <definedName name="T45GOVAP1" localSheetId="7">#REF!</definedName>
    <definedName name="T45GOVAP1">#REF!</definedName>
    <definedName name="T45HCUCHI" localSheetId="7">#REF!</definedName>
    <definedName name="T45HCUCHI">#REF!</definedName>
    <definedName name="T45HHOCMON" localSheetId="7">#REF!</definedName>
    <definedName name="T45HHOCMON">#REF!</definedName>
    <definedName name="T45QBINHCHANH" localSheetId="7">#REF!</definedName>
    <definedName name="T45QBINHCHANH">#REF!</definedName>
    <definedName name="T45QBINHTAN" localSheetId="7">#REF!</definedName>
    <definedName name="T45QBINHTAN">#REF!</definedName>
    <definedName name="T45QBINHTHANH1" localSheetId="7">#REF!</definedName>
    <definedName name="T45QBINHTHANH1">#REF!</definedName>
    <definedName name="T45QBINHTHANH2" localSheetId="7">#REF!</definedName>
    <definedName name="T45QBINHTHANH2">#REF!</definedName>
    <definedName name="T45QGOVAP1" localSheetId="7">#REF!</definedName>
    <definedName name="T45QGOVAP1">#REF!</definedName>
    <definedName name="T45QGOVAP2" localSheetId="7">#REF!</definedName>
    <definedName name="T45QGOVAP2">#REF!</definedName>
    <definedName name="T45QPHUNHUAN" localSheetId="7">#REF!</definedName>
    <definedName name="T45QPHUNHUAN">#REF!</definedName>
    <definedName name="T45QTANBINH2" localSheetId="7">#REF!</definedName>
    <definedName name="T45QTANBINH2">#REF!</definedName>
    <definedName name="T45QTANPHU" localSheetId="7">#REF!</definedName>
    <definedName name="T45QTANPHU">#REF!</definedName>
    <definedName name="T45QTANHBINH1" localSheetId="7">#REF!</definedName>
    <definedName name="T45QTANHBINH1">#REF!</definedName>
    <definedName name="T45QTHUDUC1" localSheetId="7">#REF!</definedName>
    <definedName name="T45QTHUDUC1">#REF!</definedName>
    <definedName name="T45QTHUDUC2" localSheetId="7">#REF!</definedName>
    <definedName name="T45QTHUDUC2">#REF!</definedName>
    <definedName name="T45QUAN1" localSheetId="7">#REF!</definedName>
    <definedName name="T45QUAN1">#REF!</definedName>
    <definedName name="T45QUAN10" localSheetId="7">#REF!</definedName>
    <definedName name="T45QUAN10">#REF!</definedName>
    <definedName name="T45QUAN11" localSheetId="7">#REF!</definedName>
    <definedName name="T45QUAN11">#REF!</definedName>
    <definedName name="T45QUAN12" localSheetId="7">#REF!</definedName>
    <definedName name="T45QUAN12">#REF!</definedName>
    <definedName name="T45QUAN2" localSheetId="7">#REF!</definedName>
    <definedName name="T45QUAN2">#REF!</definedName>
    <definedName name="T45QUAN3" localSheetId="7">#REF!</definedName>
    <definedName name="T45QUAN3">#REF!</definedName>
    <definedName name="T45QUAN4" localSheetId="7">#REF!</definedName>
    <definedName name="T45QUAN4">#REF!</definedName>
    <definedName name="T45QUAN6A" localSheetId="7">#REF!</definedName>
    <definedName name="T45QUAN6A">#REF!</definedName>
    <definedName name="T45QUAN6B" localSheetId="7">#REF!</definedName>
    <definedName name="T45QUAN6B">#REF!</definedName>
    <definedName name="T45QUAN7" localSheetId="7">#REF!</definedName>
    <definedName name="T45QUAN7">#REF!</definedName>
    <definedName name="T45QUAN8B" localSheetId="7">#REF!</definedName>
    <definedName name="T45QUAN8B">#REF!</definedName>
    <definedName name="T45QUAN9" localSheetId="7">#REF!</definedName>
    <definedName name="T45QUAN9">#REF!</definedName>
    <definedName name="tadao" localSheetId="7">#REF!</definedName>
    <definedName name="tadao">#REF!</definedName>
    <definedName name="Tæng_gia_thanh_XM_cat_da_sái_dot4" localSheetId="7">#REF!</definedName>
    <definedName name="Tæng_gia_thanh_XM_cat_da_sái_dot4">#REF!</definedName>
    <definedName name="Tæng_hîp_kinh_phÝ__DZ_35kv" localSheetId="7">#REF!</definedName>
    <definedName name="Tæng_hîp_kinh_phÝ__DZ_35kv">#REF!</definedName>
    <definedName name="Tæng_hîp_kinh_phÝ__kho_kÝn__kho_hë" localSheetId="7">#REF!</definedName>
    <definedName name="Tæng_hîp_kinh_phÝ__kho_kÝn__kho_hë">#REF!</definedName>
    <definedName name="Tæng_hîp_VL_NC_MTC" localSheetId="7">#REF!</definedName>
    <definedName name="Tæng_hîp_VL_NC_MTC">#REF!</definedName>
    <definedName name="Tæng_ke_chi_tiÕt_da_hiÖu_chØnh" localSheetId="7">#REF!</definedName>
    <definedName name="Tæng_ke_chi_tiÕt_da_hiÖu_chØnh">#REF!</definedName>
    <definedName name="Tæng_ke_DZ_35KV_Son_TÞnh_Tra_Bång" localSheetId="7">#REF!</definedName>
    <definedName name="Tæng_ke_DZ_35KV_Son_TÞnh_Tra_Bång">#REF!</definedName>
    <definedName name="TAM" localSheetId="7">#REF!</definedName>
    <definedName name="TAM">#REF!</definedName>
    <definedName name="TAMTINH" localSheetId="7">#REF!</definedName>
    <definedName name="TAMTINH">#REF!</definedName>
    <definedName name="TANBINH1" localSheetId="7">#REF!</definedName>
    <definedName name="TANBINH1">#REF!</definedName>
    <definedName name="TANBINH2" localSheetId="7">#REF!</definedName>
    <definedName name="TANBINH2">#REF!</definedName>
    <definedName name="TANPHU" localSheetId="7">#REF!</definedName>
    <definedName name="TANPHU">#REF!</definedName>
    <definedName name="Tang">100</definedName>
    <definedName name="Tax" localSheetId="7">#REF!</definedName>
    <definedName name="Tax">#REF!</definedName>
    <definedName name="TaxTV">10%</definedName>
    <definedName name="TaxXL">5%</definedName>
    <definedName name="TBA" localSheetId="7">#REF!</definedName>
    <definedName name="TBA">#REF!</definedName>
    <definedName name="TBAM" localSheetId="7">#REF!</definedName>
    <definedName name="TBAM">#REF!</definedName>
    <definedName name="tbl_ProdInfo" localSheetId="2" hidden="1">#REF!</definedName>
    <definedName name="tbl_ProdInfo" localSheetId="5" hidden="1">#REF!</definedName>
    <definedName name="tbl_ProdInfo" localSheetId="7" hidden="1">#REF!</definedName>
    <definedName name="tbl_ProdInfo" hidden="1">#REF!</definedName>
    <definedName name="tbtram" localSheetId="7">#REF!</definedName>
    <definedName name="tbtram">#REF!</definedName>
    <definedName name="TBXD" localSheetId="7">#REF!</definedName>
    <definedName name="TBXD">#REF!</definedName>
    <definedName name="TC" localSheetId="7">#REF!</definedName>
    <definedName name="TC">#REF!</definedName>
    <definedName name="TC_NHANH1" localSheetId="7">#REF!</definedName>
    <definedName name="TC_NHANH1">#REF!</definedName>
    <definedName name="TC44HCUCHI" localSheetId="7">#REF!</definedName>
    <definedName name="TC44HCUCHI">#REF!</definedName>
    <definedName name="TC44HHOCMON" localSheetId="7">#REF!</definedName>
    <definedName name="TC44HHOCMON">#REF!</definedName>
    <definedName name="TC44QBINHCHANH" localSheetId="7">#REF!</definedName>
    <definedName name="TC44QBINHCHANH">#REF!</definedName>
    <definedName name="TC44QBINHTAN" localSheetId="7">#REF!</definedName>
    <definedName name="TC44QBINHTAN">#REF!</definedName>
    <definedName name="TC44QBINHTHANH1" localSheetId="7">#REF!</definedName>
    <definedName name="TC44QBINHTHANH1">#REF!</definedName>
    <definedName name="TC44QBINHTHANH2" localSheetId="7">#REF!</definedName>
    <definedName name="TC44QBINHTHANH2">#REF!</definedName>
    <definedName name="TC44QGOVAP1" localSheetId="7">#REF!</definedName>
    <definedName name="TC44QGOVAP1">#REF!</definedName>
    <definedName name="TC44QGOVAP2" localSheetId="7">#REF!</definedName>
    <definedName name="TC44QGOVAP2">#REF!</definedName>
    <definedName name="TC44QPHUNHUAN" localSheetId="7">#REF!</definedName>
    <definedName name="TC44QPHUNHUAN">#REF!</definedName>
    <definedName name="TC44QTANBINH1" localSheetId="7">#REF!</definedName>
    <definedName name="TC44QTANBINH1">#REF!</definedName>
    <definedName name="TC44QTANBINH2" localSheetId="7">#REF!</definedName>
    <definedName name="TC44QTANBINH2">#REF!</definedName>
    <definedName name="TC44QTANPHU" localSheetId="7">#REF!</definedName>
    <definedName name="TC44QTANPHU">#REF!</definedName>
    <definedName name="TC44QTHUDUC1" localSheetId="7">#REF!</definedName>
    <definedName name="TC44QTHUDUC1">#REF!</definedName>
    <definedName name="TC44QTHUDUC2" localSheetId="7">#REF!</definedName>
    <definedName name="TC44QTHUDUC2">#REF!</definedName>
    <definedName name="TC44QUAN1" localSheetId="7">#REF!</definedName>
    <definedName name="TC44QUAN1">#REF!</definedName>
    <definedName name="TC44QUAN10" localSheetId="7">#REF!</definedName>
    <definedName name="TC44QUAN10">#REF!</definedName>
    <definedName name="TC44QUAN11" localSheetId="7">#REF!</definedName>
    <definedName name="TC44QUAN11">#REF!</definedName>
    <definedName name="TC44QUAN12" localSheetId="7">#REF!</definedName>
    <definedName name="TC44QUAN12">#REF!</definedName>
    <definedName name="TC44QUAN2" localSheetId="7">#REF!</definedName>
    <definedName name="TC44QUAN2">#REF!</definedName>
    <definedName name="TC44QUAN32" localSheetId="7">#REF!</definedName>
    <definedName name="TC44QUAN32">#REF!</definedName>
    <definedName name="TC44QUAN4" localSheetId="7">#REF!</definedName>
    <definedName name="TC44QUAN4">#REF!</definedName>
    <definedName name="TC44QUAN5" localSheetId="7">#REF!</definedName>
    <definedName name="TC44QUAN5">#REF!</definedName>
    <definedName name="TC44QUAN6A" localSheetId="7">#REF!</definedName>
    <definedName name="TC44QUAN6A">#REF!</definedName>
    <definedName name="TC44QUAN6B" localSheetId="7">#REF!</definedName>
    <definedName name="TC44QUAN6B">#REF!</definedName>
    <definedName name="TC44QUAN7" localSheetId="7">#REF!</definedName>
    <definedName name="TC44QUAN7">#REF!</definedName>
    <definedName name="TC44QUAN8A" localSheetId="7">#REF!</definedName>
    <definedName name="TC44QUAN8A">#REF!</definedName>
    <definedName name="TC44QUAN8B" localSheetId="7">#REF!</definedName>
    <definedName name="TC44QUAN8B">#REF!</definedName>
    <definedName name="Tchuan" localSheetId="7">#REF!</definedName>
    <definedName name="Tchuan">#REF!</definedName>
    <definedName name="TD_NCKT" localSheetId="7">#REF!</definedName>
    <definedName name="TD_NCKT">#REF!</definedName>
    <definedName name="TD12vl" localSheetId="7">#REF!</definedName>
    <definedName name="TD12vl">#REF!</definedName>
    <definedName name="td1p" localSheetId="7">#REF!</definedName>
    <definedName name="td1p">#REF!</definedName>
    <definedName name="TD1p1nc" localSheetId="7">#REF!</definedName>
    <definedName name="TD1p1nc">#REF!</definedName>
    <definedName name="td1p1vc" localSheetId="7">#REF!</definedName>
    <definedName name="td1p1vc">#REF!</definedName>
    <definedName name="TD1p1vl" localSheetId="7">#REF!</definedName>
    <definedName name="TD1p1vl">#REF!</definedName>
    <definedName name="td3p" localSheetId="7">#REF!</definedName>
    <definedName name="td3p">#REF!</definedName>
    <definedName name="TDctnc" localSheetId="7">#REF!</definedName>
    <definedName name="TDctnc">#REF!</definedName>
    <definedName name="TDctvc" localSheetId="7">#REF!</definedName>
    <definedName name="TDctvc">#REF!</definedName>
    <definedName name="TDctvl" localSheetId="7">#REF!</definedName>
    <definedName name="TDctvl">#REF!</definedName>
    <definedName name="TDDZ04" localSheetId="7">#REF!</definedName>
    <definedName name="TDDZ04">#REF!</definedName>
    <definedName name="TDDZ22" localSheetId="7">#REF!</definedName>
    <definedName name="TDDZ22">#REF!</definedName>
    <definedName name="TDIA" localSheetId="7">#REF!</definedName>
    <definedName name="TDIA">#REF!</definedName>
    <definedName name="tdnc1p" localSheetId="7">#REF!</definedName>
    <definedName name="tdnc1p">#REF!</definedName>
    <definedName name="tdo" localSheetId="7">#REF!</definedName>
    <definedName name="tdo">#REF!</definedName>
    <definedName name="tdtb" localSheetId="7">#REF!</definedName>
    <definedName name="tdtb">#REF!</definedName>
    <definedName name="tdtr2cnc" localSheetId="7">#REF!</definedName>
    <definedName name="tdtr2cnc">#REF!</definedName>
    <definedName name="tdtr2cvl" localSheetId="7">#REF!</definedName>
    <definedName name="tdtr2cvl">#REF!</definedName>
    <definedName name="tdvl1p" localSheetId="7">#REF!</definedName>
    <definedName name="tdvl1p">#REF!</definedName>
    <definedName name="TEN_CT" localSheetId="7">#REF!</definedName>
    <definedName name="TEN_CT">#REF!</definedName>
    <definedName name="TEN_CTIET_TA" localSheetId="7">#REF!</definedName>
    <definedName name="TEN_CTIET_TA">#REF!</definedName>
    <definedName name="TEN_HA" localSheetId="7">#REF!</definedName>
    <definedName name="TEN_HA">#REF!</definedName>
    <definedName name="TEN_TA" localSheetId="7">#REF!</definedName>
    <definedName name="TEN_TA">#REF!</definedName>
    <definedName name="TEN_TBA" localSheetId="7">#REF!</definedName>
    <definedName name="TEN_TBA">#REF!</definedName>
    <definedName name="tenck" localSheetId="7">#REF!</definedName>
    <definedName name="tenck">#REF!</definedName>
    <definedName name="tenct" localSheetId="7">#REF!</definedName>
    <definedName name="tenct">#REF!</definedName>
    <definedName name="text" localSheetId="7">#REF!,#REF!,#REF!,#REF!,#REF!</definedName>
    <definedName name="text">#REF!,#REF!,#REF!,#REF!,#REF!</definedName>
    <definedName name="TG" localSheetId="7">#REF!</definedName>
    <definedName name="TG">#REF!</definedName>
    <definedName name="Tien" localSheetId="7">#REF!</definedName>
    <definedName name="Tien">#REF!</definedName>
    <definedName name="TIENLUONG" localSheetId="7">#REF!</definedName>
    <definedName name="TIENLUONG">#REF!</definedName>
    <definedName name="Tiepdiama">9500</definedName>
    <definedName name="TIEU_HAO_VAT_TU_DZ0.4KV" localSheetId="7">#REF!</definedName>
    <definedName name="TIEU_HAO_VAT_TU_DZ0.4KV">#REF!</definedName>
    <definedName name="TIEU_HAO_VAT_TU_TBA" localSheetId="7">#REF!</definedName>
    <definedName name="TIEU_HAO_VAT_TU_TBA">#REF!</definedName>
    <definedName name="tim_xuat_hien" localSheetId="7">#REF!</definedName>
    <definedName name="tim_xuat_hien">#REF!</definedName>
    <definedName name="TITAN" localSheetId="7">#REF!</definedName>
    <definedName name="TITAN">#REF!</definedName>
    <definedName name="TK" localSheetId="7">#REF!</definedName>
    <definedName name="TK">#REF!</definedName>
    <definedName name="TKCOÙ" localSheetId="7">#REF!</definedName>
    <definedName name="TKCOÙ">#REF!</definedName>
    <definedName name="TKCS" localSheetId="7">#REF!</definedName>
    <definedName name="TKCS">#REF!</definedName>
    <definedName name="TKDC" localSheetId="7">#REF!</definedName>
    <definedName name="TKDC">#REF!</definedName>
    <definedName name="TKDC1" localSheetId="7">#REF!</definedName>
    <definedName name="TKDC1">#REF!</definedName>
    <definedName name="TKDF1" localSheetId="7">#REF!</definedName>
    <definedName name="TKDF1">#REF!</definedName>
    <definedName name="Tke_TA" localSheetId="7">#REF!</definedName>
    <definedName name="Tke_TA">#REF!</definedName>
    <definedName name="TKKT" localSheetId="7">#REF!</definedName>
    <definedName name="TKKT">#REF!</definedName>
    <definedName name="TKNÔÏ" localSheetId="7">#REF!</definedName>
    <definedName name="TKNÔÏ">#REF!</definedName>
    <definedName name="TKPÑZ" localSheetId="7">#REF!</definedName>
    <definedName name="TKPÑZ">#REF!</definedName>
    <definedName name="TKPTBA" localSheetId="7">#REF!</definedName>
    <definedName name="TKPTBA">#REF!</definedName>
    <definedName name="TKYB">"TKYB"</definedName>
    <definedName name="TLAC120" localSheetId="7">#REF!</definedName>
    <definedName name="TLAC120">#REF!</definedName>
    <definedName name="TLAC35" localSheetId="7">#REF!</definedName>
    <definedName name="TLAC35">#REF!</definedName>
    <definedName name="TLAC50" localSheetId="7">#REF!</definedName>
    <definedName name="TLAC50">#REF!</definedName>
    <definedName name="TLAC70" localSheetId="7">#REF!</definedName>
    <definedName name="TLAC70">#REF!</definedName>
    <definedName name="TLAC95" localSheetId="7">#REF!</definedName>
    <definedName name="TLAC95">#REF!</definedName>
    <definedName name="tlcpc" localSheetId="7">#REF!</definedName>
    <definedName name="tlcpc">#REF!</definedName>
    <definedName name="tldf" localSheetId="7">#REF!</definedName>
    <definedName name="tldf">#REF!</definedName>
    <definedName name="Tle" localSheetId="7">#REF!</definedName>
    <definedName name="Tle">#REF!</definedName>
    <definedName name="tltkp" localSheetId="7">#REF!</definedName>
    <definedName name="tltkp">#REF!</definedName>
    <definedName name="tluong" localSheetId="7">#REF!</definedName>
    <definedName name="tluong">#REF!</definedName>
    <definedName name="TM" localSheetId="7">#REF!</definedName>
    <definedName name="TM">#REF!</definedName>
    <definedName name="TN" localSheetId="7">#REF!</definedName>
    <definedName name="TN">#REF!</definedName>
    <definedName name="TÑNCKT" localSheetId="7">#REF!</definedName>
    <definedName name="TÑNCKT">#REF!</definedName>
    <definedName name="TÑTDT" localSheetId="7">#REF!</definedName>
    <definedName name="TÑTDT">#REF!</definedName>
    <definedName name="TÑTKKT" localSheetId="7">#REF!</definedName>
    <definedName name="TÑTKKT">#REF!</definedName>
    <definedName name="Togo_Against" localSheetId="7">#REF!,#REF!,#REF!</definedName>
    <definedName name="Togo_Against">#REF!,#REF!,#REF!</definedName>
    <definedName name="Togo_Played" localSheetId="7">#REF!,#REF!,#REF!</definedName>
    <definedName name="Togo_Played">#REF!,#REF!,#REF!</definedName>
    <definedName name="TONG_GIA_TRI_CONG_TRINH" localSheetId="7">#REF!</definedName>
    <definedName name="TONG_GIA_TRI_CONG_TRINH">#REF!</definedName>
    <definedName name="TONG_HOP_CHI_TIET_XAY_DUNG" localSheetId="7">#REF!</definedName>
    <definedName name="TONG_HOP_CHI_TIET_XAY_DUNG">#REF!</definedName>
    <definedName name="TONG_HOP_KINH_PHI_GIA_CONG_PHAN_LAP_DAT_DIEN" localSheetId="7">#REF!</definedName>
    <definedName name="TONG_HOP_KINH_PHI_GIA_CONG_PHAN_LAP_DAT_DIEN">#REF!</definedName>
    <definedName name="TONG_HOP_KINH_PHI_PHAN_A_THUC_HIEN" localSheetId="7">#REF!</definedName>
    <definedName name="TONG_HOP_KINH_PHI_PHAN_A_THUC_HIEN">#REF!</definedName>
    <definedName name="TONG_HOP_KINH_PHI_PHAN_DIEN" localSheetId="7">#REF!</definedName>
    <definedName name="TONG_HOP_KINH_PHI_PHAN_DIEN">#REF!</definedName>
    <definedName name="TONG_HOP_THI_NGHIEM_DZ0.4KV" localSheetId="7">#REF!</definedName>
    <definedName name="TONG_HOP_THI_NGHIEM_DZ0.4KV">#REF!</definedName>
    <definedName name="TONG_HOP_THI_NGHIEM_DZ22KV" localSheetId="7">#REF!</definedName>
    <definedName name="TONG_HOP_THI_NGHIEM_DZ22KV">#REF!</definedName>
    <definedName name="TONG_KE_DZ0.4KV" localSheetId="7">#REF!</definedName>
    <definedName name="TONG_KE_DZ0.4KV">#REF!</definedName>
    <definedName name="TONG_KE_TBA" localSheetId="7">#REF!</definedName>
    <definedName name="TONG_KE_TBA">#REF!</definedName>
    <definedName name="TONG_L2" localSheetId="7">#REF!</definedName>
    <definedName name="TONG_L2">#REF!</definedName>
    <definedName name="TONG_L3" localSheetId="7">#REF!</definedName>
    <definedName name="TONG_L3">#REF!</definedName>
    <definedName name="Tong_nhom" localSheetId="7">#REF!</definedName>
    <definedName name="Tong_nhom">#REF!</definedName>
    <definedName name="tongbt" localSheetId="7">#REF!</definedName>
    <definedName name="tongbt">#REF!</definedName>
    <definedName name="tongcong" localSheetId="7">#REF!</definedName>
    <definedName name="tongcong">#REF!</definedName>
    <definedName name="tongdientich" localSheetId="7">#REF!</definedName>
    <definedName name="tongdientich">#REF!</definedName>
    <definedName name="TONGDUTOAN" localSheetId="7">#REF!</definedName>
    <definedName name="TONGDUTOAN">#REF!</definedName>
    <definedName name="Tonghop" localSheetId="7">#REF!</definedName>
    <definedName name="Tonghop">#REF!</definedName>
    <definedName name="tongthep" localSheetId="7">#REF!</definedName>
    <definedName name="tongthep">#REF!</definedName>
    <definedName name="tongthetich" localSheetId="7">#REF!</definedName>
    <definedName name="tongthetich">#REF!</definedName>
    <definedName name="Töôøng_beân___töôøng_caùnh___Þ__10" localSheetId="7">#REF!</definedName>
    <definedName name="Töôøng_beân___töôøng_caùnh___Þ__10">#REF!</definedName>
    <definedName name="TOP" localSheetId="7">#REF!</definedName>
    <definedName name="TOP">#REF!</definedName>
    <definedName name="total" localSheetId="7">#REF!</definedName>
    <definedName name="total">#REF!</definedName>
    <definedName name="totald" localSheetId="7">#REF!</definedName>
    <definedName name="totald">#REF!</definedName>
    <definedName name="TPLRP" localSheetId="7">#REF!</definedName>
    <definedName name="TPLRP">#REF!</definedName>
    <definedName name="Ts" localSheetId="7">#REF!</definedName>
    <definedName name="Ts">#REF!</definedName>
    <definedName name="TT" localSheetId="7">#REF!</definedName>
    <definedName name="TT">#REF!</definedName>
    <definedName name="TT_1P" localSheetId="7">#REF!</definedName>
    <definedName name="TT_1P">#REF!</definedName>
    <definedName name="TT_3p" localSheetId="7">#REF!</definedName>
    <definedName name="TT_3p">#REF!</definedName>
    <definedName name="TT_M" localSheetId="7">#REF!</definedName>
    <definedName name="TT_M">#REF!</definedName>
    <definedName name="TT_NC" localSheetId="7">#REF!</definedName>
    <definedName name="TT_NC">#REF!</definedName>
    <definedName name="TT_VL" localSheetId="7">#REF!</definedName>
    <definedName name="TT_VL">#REF!</definedName>
    <definedName name="ttao" localSheetId="7">#REF!</definedName>
    <definedName name="ttao">#REF!</definedName>
    <definedName name="ttbt" localSheetId="7">#REF!</definedName>
    <definedName name="ttbt">#REF!</definedName>
    <definedName name="ttttt" localSheetId="2" hidden="1">{"'Sheet1'!$L$16"}</definedName>
    <definedName name="ttttt" localSheetId="5" hidden="1">{"'Sheet1'!$L$16"}</definedName>
    <definedName name="ttttt" hidden="1">{"'Sheet1'!$L$16"}</definedName>
    <definedName name="ttttttttttt" localSheetId="2" hidden="1">{"'Sheet1'!$L$16"}</definedName>
    <definedName name="ttttttttttt" localSheetId="5" hidden="1">{"'Sheet1'!$L$16"}</definedName>
    <definedName name="ttttttttttt" hidden="1">{"'Sheet1'!$L$16"}</definedName>
    <definedName name="tthi" localSheetId="7">#REF!</definedName>
    <definedName name="tthi">#REF!</definedName>
    <definedName name="ttronmk" localSheetId="7">#REF!</definedName>
    <definedName name="ttronmk">#REF!</definedName>
    <definedName name="tu" localSheetId="7">#REF!</definedName>
    <definedName name="tu">#REF!</definedName>
    <definedName name="TUAN45" localSheetId="7">#REF!</definedName>
    <definedName name="TUAN45">#REF!</definedName>
    <definedName name="TUAN46" localSheetId="7">#REF!</definedName>
    <definedName name="TUAN46">#REF!</definedName>
    <definedName name="TUAN48" localSheetId="7">#REF!</definedName>
    <definedName name="TUAN48">#REF!</definedName>
    <definedName name="TUAN49" localSheetId="7">#REF!</definedName>
    <definedName name="TUAN49">#REF!</definedName>
    <definedName name="TUAN50" localSheetId="7">#REF!</definedName>
    <definedName name="TUAN50">#REF!</definedName>
    <definedName name="TUAN51" localSheetId="7">#REF!</definedName>
    <definedName name="TUAN51">#REF!</definedName>
    <definedName name="TUAN52" localSheetId="7">#REF!</definedName>
    <definedName name="TUAN52">#REF!</definedName>
    <definedName name="Tunisia_Against" localSheetId="7">#REF!,#REF!,#REF!</definedName>
    <definedName name="Tunisia_Against">#REF!,#REF!,#REF!</definedName>
    <definedName name="Tunisia_Played" localSheetId="7">#REF!,#REF!,#REF!</definedName>
    <definedName name="Tunisia_Played">#REF!,#REF!,#REF!</definedName>
    <definedName name="tuoi" localSheetId="7">#REF!</definedName>
    <definedName name="tuoi">#REF!</definedName>
    <definedName name="tuyennhanh" localSheetId="2" hidden="1">{"'Sheet1'!$L$16"}</definedName>
    <definedName name="tuyennhanh" localSheetId="5" hidden="1">{"'Sheet1'!$L$16"}</definedName>
    <definedName name="tuyennhanh" hidden="1">{"'Sheet1'!$L$16"}</definedName>
    <definedName name="tv75nc" localSheetId="7">#REF!</definedName>
    <definedName name="tv75nc">#REF!</definedName>
    <definedName name="tv75vl" localSheetId="7">#REF!</definedName>
    <definedName name="tv75vl">#REF!</definedName>
    <definedName name="TW">#REF!</definedName>
    <definedName name="Twister" localSheetId="7">#REF!</definedName>
    <definedName name="Twister">#REF!</definedName>
    <definedName name="TXB11QBINHCHANH" localSheetId="7">#REF!</definedName>
    <definedName name="TXB11QBINHCHANH">#REF!</definedName>
    <definedName name="TXB11QBINHTAN" localSheetId="7">#REF!</definedName>
    <definedName name="TXB11QBINHTAN">#REF!</definedName>
    <definedName name="TXB11QBINHTHANH1" localSheetId="7">#REF!</definedName>
    <definedName name="TXB11QBINHTHANH1">#REF!</definedName>
    <definedName name="TXB11QBINHTHANH2" localSheetId="7">#REF!</definedName>
    <definedName name="TXB11QBINHTHANH2">#REF!</definedName>
    <definedName name="TXB11QCUCHI" localSheetId="7">#REF!</definedName>
    <definedName name="TXB11QCUCHI">#REF!</definedName>
    <definedName name="TXB11QGOVAP1" localSheetId="7">#REF!</definedName>
    <definedName name="TXB11QGOVAP1">#REF!</definedName>
    <definedName name="TXB11QGOVAP2" localSheetId="7">#REF!</definedName>
    <definedName name="TXB11QGOVAP2">#REF!</definedName>
    <definedName name="TXB11QHOCMON" localSheetId="7">#REF!</definedName>
    <definedName name="TXB11QHOCMON">#REF!</definedName>
    <definedName name="TXB11QPHUNHUAN" localSheetId="7">#REF!</definedName>
    <definedName name="TXB11QPHUNHUAN">#REF!</definedName>
    <definedName name="TXB11QTANBINH1" localSheetId="7">#REF!</definedName>
    <definedName name="TXB11QTANBINH1">#REF!</definedName>
    <definedName name="TXB11QTANBINH2" localSheetId="7">#REF!</definedName>
    <definedName name="TXB11QTANBINH2">#REF!</definedName>
    <definedName name="TXB11QTANPHU" localSheetId="7">#REF!</definedName>
    <definedName name="TXB11QTANPHU">#REF!</definedName>
    <definedName name="TXB11QTHUDUC1" localSheetId="7">#REF!</definedName>
    <definedName name="TXB11QTHUDUC1">#REF!</definedName>
    <definedName name="TXB11QTHUDUC2" localSheetId="7">#REF!</definedName>
    <definedName name="TXB11QTHUDUC2">#REF!</definedName>
    <definedName name="TXB11QUAN1" localSheetId="7">#REF!</definedName>
    <definedName name="TXB11QUAN1">#REF!</definedName>
    <definedName name="TXB11QUAN10" localSheetId="7">#REF!</definedName>
    <definedName name="TXB11QUAN10">#REF!</definedName>
    <definedName name="TXB11QUAN11" localSheetId="7">#REF!</definedName>
    <definedName name="TXB11QUAN11">#REF!</definedName>
    <definedName name="TXB11QUAN12" localSheetId="7">#REF!</definedName>
    <definedName name="TXB11QUAN12">#REF!</definedName>
    <definedName name="TXB11QUAN2" localSheetId="7">#REF!</definedName>
    <definedName name="TXB11QUAN2">#REF!</definedName>
    <definedName name="TXB11QUAN4" localSheetId="7">#REF!</definedName>
    <definedName name="TXB11QUAN4">#REF!</definedName>
    <definedName name="TXB11QUAN6B" localSheetId="7">#REF!</definedName>
    <definedName name="TXB11QUAN6B">#REF!</definedName>
    <definedName name="TXB11QUAN7" localSheetId="7">#REF!</definedName>
    <definedName name="TXB11QUAN7">#REF!</definedName>
    <definedName name="TXB11QUAN8A" localSheetId="7">#REF!</definedName>
    <definedName name="TXB11QUAN8A">#REF!</definedName>
    <definedName name="TXB11QUAN8B" localSheetId="7">#REF!</definedName>
    <definedName name="TXB11QUAN8B">#REF!</definedName>
    <definedName name="TXB44QUAN5" localSheetId="7">#REF!</definedName>
    <definedName name="TXB44QUAN5">#REF!</definedName>
    <definedName name="TXB44QUAN6A" localSheetId="7">#REF!</definedName>
    <definedName name="TXB44QUAN6A">#REF!</definedName>
    <definedName name="ty_le" localSheetId="7">#REF!</definedName>
    <definedName name="ty_le">#REF!</definedName>
    <definedName name="Ty_Le_1" localSheetId="7">#REF!</definedName>
    <definedName name="Ty_Le_1">#REF!</definedName>
    <definedName name="ty_le_BTN" localSheetId="7">#REF!</definedName>
    <definedName name="ty_le_BTN">#REF!</definedName>
    <definedName name="Ty_le1" localSheetId="7">#REF!</definedName>
    <definedName name="Ty_le1">#REF!</definedName>
    <definedName name="TYT" localSheetId="14">BlankMacro1</definedName>
    <definedName name="TYT" localSheetId="3">BlankMacro1</definedName>
    <definedName name="TYT" localSheetId="2">BlankMacro1</definedName>
    <definedName name="TYT" localSheetId="5">BlankMacro1</definedName>
    <definedName name="TYT" localSheetId="7">BlankMacro1</definedName>
    <definedName name="TYT" localSheetId="13">BlankMacro1</definedName>
    <definedName name="TYT">BlankMacro1</definedName>
    <definedName name="Th_nh_tiÒn" localSheetId="7">#REF!</definedName>
    <definedName name="Th_nh_tiÒn">#REF!</definedName>
    <definedName name="TH_VKHNN" localSheetId="7">#REF!</definedName>
    <definedName name="TH_VKHNN">#REF!</definedName>
    <definedName name="tha" localSheetId="2" hidden="1">{"'Sheet1'!$L$16"}</definedName>
    <definedName name="tha" localSheetId="5" hidden="1">{"'Sheet1'!$L$16"}</definedName>
    <definedName name="tha" hidden="1">{"'Sheet1'!$L$16"}</definedName>
    <definedName name="thanhtien" localSheetId="7">#REF!</definedName>
    <definedName name="thanhtien">#REF!</definedName>
    <definedName name="Þcot" localSheetId="7">#REF!</definedName>
    <definedName name="Þcot">#REF!</definedName>
    <definedName name="THctao" localSheetId="7">#REF!</definedName>
    <definedName name="THctao">#REF!</definedName>
    <definedName name="ÞCTd4" localSheetId="7">#REF!</definedName>
    <definedName name="ÞCTd4">#REF!</definedName>
    <definedName name="ÞCTt4" localSheetId="7">#REF!</definedName>
    <definedName name="ÞCTt4">#REF!</definedName>
    <definedName name="Þdamd4" localSheetId="7">#REF!</definedName>
    <definedName name="Þdamd4">#REF!</definedName>
    <definedName name="Þdamt4" localSheetId="7">#REF!</definedName>
    <definedName name="Þdamt4">#REF!</definedName>
    <definedName name="thdn" localSheetId="7">#REF!</definedName>
    <definedName name="thdn">#REF!</definedName>
    <definedName name="Theo_ÂM_1242_1998_QÂ_BXD_ngaìy_25_11_1998_cuía_Bäü_Xáy_dæûng" localSheetId="7">#REF!</definedName>
    <definedName name="Theo_ÂM_1242_1998_QÂ_BXD_ngaìy_25_11_1998_cuía_Bäü_Xáy_dæûng">#REF!</definedName>
    <definedName name="thepban" localSheetId="7">#REF!</definedName>
    <definedName name="thepban">#REF!</definedName>
    <definedName name="thepma">10500</definedName>
    <definedName name="thepto" localSheetId="7">#REF!</definedName>
    <definedName name="thepto">#REF!</definedName>
    <definedName name="thetichck" localSheetId="7">#REF!</definedName>
    <definedName name="thetichck">#REF!</definedName>
    <definedName name="THGO1pnc" localSheetId="7">#REF!</definedName>
    <definedName name="THGO1pnc">#REF!</definedName>
    <definedName name="thht" localSheetId="7">#REF!</definedName>
    <definedName name="thht">#REF!</definedName>
    <definedName name="THI" localSheetId="7">#REF!</definedName>
    <definedName name="THI">#REF!</definedName>
    <definedName name="THI_NGHIEM" localSheetId="7">#REF!</definedName>
    <definedName name="THI_NGHIEM">#REF!</definedName>
    <definedName name="THîp_gia_trÞ_quyÕt_toan" localSheetId="7">#REF!</definedName>
    <definedName name="THîp_gia_trÞ_quyÕt_toan">#REF!</definedName>
    <definedName name="Thîp_kinh_phÝ_dao_dóc_mãng_dùng_trô" localSheetId="7">#REF!</definedName>
    <definedName name="Thîp_kinh_phÝ_dao_dóc_mãng_dùng_trô">#REF!</definedName>
    <definedName name="THîp_phat_tuyÕn_kho_bai_thi_cong" localSheetId="7">#REF!</definedName>
    <definedName name="THîp_phat_tuyÕn_kho_bai_thi_cong">#REF!</definedName>
    <definedName name="THîp_vèn_TBA35_22KV_1000KVA" localSheetId="7">#REF!</definedName>
    <definedName name="THîp_vèn_TBA35_22KV_1000KVA">#REF!</definedName>
    <definedName name="THîp_vl_nc_mtc_dît_1_thang_10_1996" localSheetId="7">#REF!</definedName>
    <definedName name="THîp_vl_nc_mtc_dît_1_thang_10_1996">#REF!</definedName>
    <definedName name="thkp3" localSheetId="7">#REF!</definedName>
    <definedName name="thkp3">#REF!</definedName>
    <definedName name="Þmong" localSheetId="7">#REF!</definedName>
    <definedName name="Þmong">#REF!</definedName>
    <definedName name="Thñ_tôc_xin_cÊp_dÊt_lÖ_phÝ_cÊp_dÊt" localSheetId="7">#REF!</definedName>
    <definedName name="Thñ_tôc_xin_cÊp_dÊt_lÖ_phÝ_cÊp_dÊt">#REF!</definedName>
    <definedName name="ÞNXoldk" localSheetId="7">#REF!</definedName>
    <definedName name="ÞNXoldk">#REF!</definedName>
    <definedName name="THPT" localSheetId="7">#REF!</definedName>
    <definedName name="THPT">#REF!</definedName>
    <definedName name="Þsan" localSheetId="7">#REF!</definedName>
    <definedName name="Þsan">#REF!</definedName>
    <definedName name="THT" localSheetId="7">#REF!</definedName>
    <definedName name="THT">#REF!</definedName>
    <definedName name="thtich1" localSheetId="7">#REF!</definedName>
    <definedName name="thtich1">#REF!</definedName>
    <definedName name="thtich2" localSheetId="7">#REF!</definedName>
    <definedName name="thtich2">#REF!</definedName>
    <definedName name="thtich3" localSheetId="7">#REF!</definedName>
    <definedName name="thtich3">#REF!</definedName>
    <definedName name="thtich4" localSheetId="7">#REF!</definedName>
    <definedName name="thtich4">#REF!</definedName>
    <definedName name="thtich5" localSheetId="7">#REF!</definedName>
    <definedName name="thtich5">#REF!</definedName>
    <definedName name="thtich6" localSheetId="7">#REF!</definedName>
    <definedName name="thtich6">#REF!</definedName>
    <definedName name="thtt" localSheetId="7">#REF!</definedName>
    <definedName name="thtt">#REF!</definedName>
    <definedName name="THUDUC1" localSheetId="7">#REF!</definedName>
    <definedName name="THUDUC1">#REF!</definedName>
    <definedName name="THUDUC2" localSheetId="7">#REF!</definedName>
    <definedName name="THUDUC2">#REF!</definedName>
    <definedName name="thue" localSheetId="7">#REF!</definedName>
    <definedName name="thue">#REF!</definedName>
    <definedName name="THUONG1" localSheetId="7">#REF!</definedName>
    <definedName name="THUONG1">#REF!</definedName>
    <definedName name="THUONG2" localSheetId="7">#REF!</definedName>
    <definedName name="THUONG2">#REF!</definedName>
    <definedName name="THUONG3" localSheetId="7">#REF!</definedName>
    <definedName name="THUONG3">#REF!</definedName>
    <definedName name="THUONG4" localSheetId="7">#REF!</definedName>
    <definedName name="THUONG4">#REF!</definedName>
    <definedName name="Tra_Cot" localSheetId="7">#REF!</definedName>
    <definedName name="Tra_Cot">#REF!</definedName>
    <definedName name="Tra_DM_su_dung" localSheetId="7">#REF!</definedName>
    <definedName name="Tra_DM_su_dung">#REF!</definedName>
    <definedName name="Tra_don_gia_KS" localSheetId="7">#REF!</definedName>
    <definedName name="Tra_don_gia_KS">#REF!</definedName>
    <definedName name="Tra_DTCT" localSheetId="7">#REF!</definedName>
    <definedName name="Tra_DTCT">#REF!</definedName>
    <definedName name="Tra_ten_cong" localSheetId="7">#REF!</definedName>
    <definedName name="Tra_ten_cong">#REF!</definedName>
    <definedName name="Tra_tim_hang_mucPT_trung" localSheetId="7">#REF!</definedName>
    <definedName name="Tra_tim_hang_mucPT_trung">#REF!</definedName>
    <definedName name="Tra_TL" localSheetId="7">#REF!</definedName>
    <definedName name="Tra_TL">#REF!</definedName>
    <definedName name="Tra_ty_le2" localSheetId="7">#REF!</definedName>
    <definedName name="Tra_ty_le2">#REF!</definedName>
    <definedName name="Tra_ty_le3" localSheetId="7">#REF!</definedName>
    <definedName name="Tra_ty_le3">#REF!</definedName>
    <definedName name="Tra_ty_le4" localSheetId="7">#REF!</definedName>
    <definedName name="Tra_ty_le4">#REF!</definedName>
    <definedName name="Tra_ty_le5" localSheetId="7">#REF!</definedName>
    <definedName name="Tra_ty_le5">#REF!</definedName>
    <definedName name="TRA_VAT_LIEU" localSheetId="7">#REF!</definedName>
    <definedName name="TRA_VAT_LIEU">#REF!</definedName>
    <definedName name="TRADE2" localSheetId="7">#REF!</definedName>
    <definedName name="TRADE2">#REF!</definedName>
    <definedName name="trao" localSheetId="7">#REF!</definedName>
    <definedName name="trao">#REF!</definedName>
    <definedName name="TRAVL" localSheetId="7">#REF!</definedName>
    <definedName name="TRAVL">#REF!</definedName>
    <definedName name="Trinidad_Against" localSheetId="7">#REF!,#REF!,#REF!</definedName>
    <definedName name="Trinidad_Against">#REF!,#REF!,#REF!</definedName>
    <definedName name="Trinidad_Played" localSheetId="7">#REF!,#REF!,#REF!</definedName>
    <definedName name="Trinidad_Played">#REF!,#REF!,#REF!</definedName>
    <definedName name="trong" localSheetId="2" hidden="1">{"'Sheet1'!$L$16"}</definedName>
    <definedName name="trong" localSheetId="5" hidden="1">{"'Sheet1'!$L$16"}</definedName>
    <definedName name="trong" hidden="1">{"'Sheet1'!$L$16"}</definedName>
    <definedName name="u" localSheetId="7">#REF!</definedName>
    <definedName name="u">#REF!</definedName>
    <definedName name="Ukraine_Against" localSheetId="7">#REF!,#REF!,#REF!</definedName>
    <definedName name="Ukraine_Against">#REF!,#REF!,#REF!</definedName>
    <definedName name="Ukraine_Played" localSheetId="7">#REF!,#REF!,#REF!</definedName>
    <definedName name="Ukraine_Played">#REF!,#REF!,#REF!</definedName>
    <definedName name="unitt" localSheetId="14">BlankMacro1</definedName>
    <definedName name="unitt" localSheetId="3">BlankMacro1</definedName>
    <definedName name="unitt" localSheetId="2">BlankMacro1</definedName>
    <definedName name="unitt" localSheetId="5">BlankMacro1</definedName>
    <definedName name="unitt" localSheetId="7">BlankMacro1</definedName>
    <definedName name="unitt" localSheetId="13">BlankMacro1</definedName>
    <definedName name="unitt">BlankMacro1</definedName>
    <definedName name="ung" localSheetId="7">#REF!</definedName>
    <definedName name="ung">#REF!</definedName>
    <definedName name="UngCBo" localSheetId="7">#REF!</definedName>
    <definedName name="UngCBo">#REF!</definedName>
    <definedName name="UngHD" localSheetId="7">#REF!</definedName>
    <definedName name="UngHD">#REF!</definedName>
    <definedName name="UP" localSheetId="7">#REF!,#REF!,#REF!,#REF!,#REF!,#REF!,#REF!,#REF!,#REF!,#REF!,#REF!</definedName>
    <definedName name="UP">#REF!,#REF!,#REF!,#REF!,#REF!,#REF!,#REF!,#REF!,#REF!,#REF!,#REF!</definedName>
    <definedName name="USA_Against" localSheetId="7">#REF!,#REF!,#REF!</definedName>
    <definedName name="USA_Against">#REF!,#REF!,#REF!</definedName>
    <definedName name="USA_Played" localSheetId="7">#REF!,#REF!,#REF!</definedName>
    <definedName name="USA_Played">#REF!,#REF!,#REF!</definedName>
    <definedName name="ut" localSheetId="14">BlankMacro1</definedName>
    <definedName name="ut" localSheetId="3">BlankMacro1</definedName>
    <definedName name="ut" localSheetId="2">BlankMacro1</definedName>
    <definedName name="ut" localSheetId="5">BlankMacro1</definedName>
    <definedName name="ut" localSheetId="7">BlankMacro1</definedName>
    <definedName name="ut" localSheetId="13">BlankMacro1</definedName>
    <definedName name="ut">BlankMacro1</definedName>
    <definedName name="uu" localSheetId="2" hidden="1">{"'Sheet1'!$L$16"}</definedName>
    <definedName name="uu" localSheetId="5" hidden="1">{"'Sheet1'!$L$16"}</definedName>
    <definedName name="uu" hidden="1">{"'Sheet1'!$L$16"}</definedName>
    <definedName name="uu.54" localSheetId="2">#REF!</definedName>
    <definedName name="uu.54" localSheetId="5">#REF!</definedName>
    <definedName name="uu.54">#REF!</definedName>
    <definedName name="V_a_b__t_ng_M200____1x2">#N/A</definedName>
    <definedName name="VAÄT_LIEÄU">"nhandongia"</definedName>
    <definedName name="Value0" localSheetId="7">#REF!</definedName>
    <definedName name="Value0">#REF!</definedName>
    <definedName name="Value1" localSheetId="7">#REF!</definedName>
    <definedName name="Value1">#REF!</definedName>
    <definedName name="Value10" localSheetId="7">#REF!</definedName>
    <definedName name="Value10">#REF!</definedName>
    <definedName name="Value11" localSheetId="7">#REF!</definedName>
    <definedName name="Value11">#REF!</definedName>
    <definedName name="Value12" localSheetId="7">#REF!</definedName>
    <definedName name="Value12">#REF!</definedName>
    <definedName name="Value13" localSheetId="7">#REF!</definedName>
    <definedName name="Value13">#REF!</definedName>
    <definedName name="Value14" localSheetId="7">#REF!</definedName>
    <definedName name="Value14">#REF!</definedName>
    <definedName name="Value15" localSheetId="7">#REF!</definedName>
    <definedName name="Value15">#REF!</definedName>
    <definedName name="Value16" localSheetId="7">#REF!</definedName>
    <definedName name="Value16">#REF!</definedName>
    <definedName name="Value17" localSheetId="7">#REF!</definedName>
    <definedName name="Value17">#REF!</definedName>
    <definedName name="Value18" localSheetId="7">#REF!</definedName>
    <definedName name="Value18">#REF!</definedName>
    <definedName name="Value19" localSheetId="7">#REF!</definedName>
    <definedName name="Value19">#REF!</definedName>
    <definedName name="Value2" localSheetId="7">#REF!</definedName>
    <definedName name="Value2">#REF!</definedName>
    <definedName name="Value20" localSheetId="7">#REF!</definedName>
    <definedName name="Value20">#REF!</definedName>
    <definedName name="Value21" localSheetId="7">#REF!</definedName>
    <definedName name="Value21">#REF!</definedName>
    <definedName name="Value22" localSheetId="7">#REF!</definedName>
    <definedName name="Value22">#REF!</definedName>
    <definedName name="Value23" localSheetId="7">#REF!</definedName>
    <definedName name="Value23">#REF!</definedName>
    <definedName name="Value24" localSheetId="7">#REF!</definedName>
    <definedName name="Value24">#REF!</definedName>
    <definedName name="Value25" localSheetId="7">#REF!</definedName>
    <definedName name="Value25">#REF!</definedName>
    <definedName name="Value26" localSheetId="7">#REF!</definedName>
    <definedName name="Value26">#REF!</definedName>
    <definedName name="Value27" localSheetId="7">#REF!</definedName>
    <definedName name="Value27">#REF!</definedName>
    <definedName name="Value28" localSheetId="7">#REF!</definedName>
    <definedName name="Value28">#REF!</definedName>
    <definedName name="Value29" localSheetId="7">#REF!</definedName>
    <definedName name="Value29">#REF!</definedName>
    <definedName name="Value3" localSheetId="7">#REF!</definedName>
    <definedName name="Value3">#REF!</definedName>
    <definedName name="Value30" localSheetId="7">#REF!</definedName>
    <definedName name="Value30">#REF!</definedName>
    <definedName name="Value31" localSheetId="7">#REF!</definedName>
    <definedName name="Value31">#REF!</definedName>
    <definedName name="Value32" localSheetId="7">#REF!</definedName>
    <definedName name="Value32">#REF!</definedName>
    <definedName name="Value33" localSheetId="7">#REF!</definedName>
    <definedName name="Value33">#REF!</definedName>
    <definedName name="Value34" localSheetId="7">#REF!</definedName>
    <definedName name="Value34">#REF!</definedName>
    <definedName name="Value35" localSheetId="7">#REF!</definedName>
    <definedName name="Value35">#REF!</definedName>
    <definedName name="Value36" localSheetId="7">#REF!</definedName>
    <definedName name="Value36">#REF!</definedName>
    <definedName name="Value37" localSheetId="7">#REF!</definedName>
    <definedName name="Value37">#REF!</definedName>
    <definedName name="Value38" localSheetId="7">#REF!</definedName>
    <definedName name="Value38">#REF!</definedName>
    <definedName name="Value39" localSheetId="7">#REF!</definedName>
    <definedName name="Value39">#REF!</definedName>
    <definedName name="Value4" localSheetId="7">#REF!</definedName>
    <definedName name="Value4">#REF!</definedName>
    <definedName name="Value40" localSheetId="7">#REF!</definedName>
    <definedName name="Value40">#REF!</definedName>
    <definedName name="Value41" localSheetId="7">#REF!</definedName>
    <definedName name="Value41">#REF!</definedName>
    <definedName name="Value42" localSheetId="7">#REF!</definedName>
    <definedName name="Value42">#REF!</definedName>
    <definedName name="Value43" localSheetId="7">#REF!</definedName>
    <definedName name="Value43">#REF!</definedName>
    <definedName name="Value44" localSheetId="7">#REF!</definedName>
    <definedName name="Value44">#REF!</definedName>
    <definedName name="Value45" localSheetId="7">#REF!</definedName>
    <definedName name="Value45">#REF!</definedName>
    <definedName name="Value46" localSheetId="7">#REF!</definedName>
    <definedName name="Value46">#REF!</definedName>
    <definedName name="Value47" localSheetId="7">#REF!</definedName>
    <definedName name="Value47">#REF!</definedName>
    <definedName name="Value48" localSheetId="7">#REF!</definedName>
    <definedName name="Value48">#REF!</definedName>
    <definedName name="Value49" localSheetId="7">#REF!</definedName>
    <definedName name="Value49">#REF!</definedName>
    <definedName name="Value5" localSheetId="7">#REF!</definedName>
    <definedName name="Value5">#REF!</definedName>
    <definedName name="Value50" localSheetId="7">#REF!</definedName>
    <definedName name="Value50">#REF!</definedName>
    <definedName name="Value51" localSheetId="7">#REF!</definedName>
    <definedName name="Value51">#REF!</definedName>
    <definedName name="Value52" localSheetId="7">#REF!</definedName>
    <definedName name="Value52">#REF!</definedName>
    <definedName name="Value53" localSheetId="7">#REF!</definedName>
    <definedName name="Value53">#REF!</definedName>
    <definedName name="Value54" localSheetId="7">#REF!</definedName>
    <definedName name="Value54">#REF!</definedName>
    <definedName name="Value55" localSheetId="7">#REF!</definedName>
    <definedName name="Value55">#REF!</definedName>
    <definedName name="Value6" localSheetId="7">#REF!</definedName>
    <definedName name="Value6">#REF!</definedName>
    <definedName name="Value7" localSheetId="7">#REF!</definedName>
    <definedName name="Value7">#REF!</definedName>
    <definedName name="Value8" localSheetId="7">#REF!</definedName>
    <definedName name="Value8">#REF!</definedName>
    <definedName name="Value9" localSheetId="7">#REF!</definedName>
    <definedName name="Value9">#REF!</definedName>
    <definedName name="Values_Entered" localSheetId="7">IF(Loan_Amount*Interest_Rate*Loan_Years*Loan_Start&gt;0,1,0)</definedName>
    <definedName name="Values_Entered">IF(Loan_Amount*Interest_Rate*Loan_Years*Loan_Start&gt;0,1,0)</definedName>
    <definedName name="Van" localSheetId="7">#REF!</definedName>
    <definedName name="Van">#REF!</definedName>
    <definedName name="VAN_CHUYEN" localSheetId="7">#REF!</definedName>
    <definedName name="VAN_CHUYEN">#REF!</definedName>
    <definedName name="VAN_CHUYEN_DUONG_DAI_DZ0.4KV" localSheetId="7">#REF!</definedName>
    <definedName name="VAN_CHUYEN_DUONG_DAI_DZ0.4KV">#REF!</definedName>
    <definedName name="VAN_CHUYEN_DUONG_DAI_DZ22KV" localSheetId="7">#REF!</definedName>
    <definedName name="VAN_CHUYEN_DUONG_DAI_DZ22KV">#REF!</definedName>
    <definedName name="VAN_CHUYEN_DUONG_DAI_TBA" localSheetId="7">#REF!</definedName>
    <definedName name="VAN_CHUYEN_DUONG_DAI_TBA">#REF!</definedName>
    <definedName name="VAN_CHUYEN_VAT_TU_CHUNG" localSheetId="7">#REF!</definedName>
    <definedName name="VAN_CHUYEN_VAT_TU_CHUNG">#REF!</definedName>
    <definedName name="VAN_TRUNG_CHUYEN_VAT_TU_CHUNG" localSheetId="7">#REF!</definedName>
    <definedName name="VAN_TRUNG_CHUYEN_VAT_TU_CHUNG">#REF!</definedName>
    <definedName name="vanchuyen" localSheetId="7">#REF!</definedName>
    <definedName name="vanchuyen">#REF!</definedName>
    <definedName name="vang_mat" localSheetId="7">#REF!</definedName>
    <definedName name="vang_mat">#REF!</definedName>
    <definedName name="VARIINST" localSheetId="7">#REF!</definedName>
    <definedName name="VARIINST">#REF!</definedName>
    <definedName name="VARIPURC" localSheetId="7">#REF!</definedName>
    <definedName name="VARIPURC">#REF!</definedName>
    <definedName name="VAT" localSheetId="7">#REF!</definedName>
    <definedName name="VAT">#REF!</definedName>
    <definedName name="vat_lieu_KVIII" localSheetId="7">#REF!</definedName>
    <definedName name="vat_lieu_KVIII">#REF!</definedName>
    <definedName name="Vat_tu" localSheetId="7">#REF!</definedName>
    <definedName name="Vat_tu">#REF!</definedName>
    <definedName name="VATM" localSheetId="2" hidden="1">{"'Sheet1'!$L$16"}</definedName>
    <definedName name="VATM" localSheetId="5" hidden="1">{"'Sheet1'!$L$16"}</definedName>
    <definedName name="VATM" hidden="1">{"'Sheet1'!$L$16"}</definedName>
    <definedName name="Vattu" localSheetId="7">#REF!</definedName>
    <definedName name="Vattu">#REF!</definedName>
    <definedName name="Váûn_chuyãøn" localSheetId="7">#REF!</definedName>
    <definedName name="Váûn_chuyãøn">#REF!</definedName>
    <definedName name="Váût_liãûu" localSheetId="7">#REF!</definedName>
    <definedName name="Váût_liãûu">#REF!</definedName>
    <definedName name="vbtchongnuocm300" localSheetId="7">#REF!</definedName>
    <definedName name="vbtchongnuocm300">#REF!</definedName>
    <definedName name="vbtm150" localSheetId="7">#REF!</definedName>
    <definedName name="vbtm150">#REF!</definedName>
    <definedName name="vbtm300" localSheetId="7">#REF!</definedName>
    <definedName name="vbtm300">#REF!</definedName>
    <definedName name="vbtm400" localSheetId="7">#REF!</definedName>
    <definedName name="vbtm400">#REF!</definedName>
    <definedName name="VC" localSheetId="7">#REF!</definedName>
    <definedName name="VC">#REF!</definedName>
    <definedName name="vccot" localSheetId="7">#REF!</definedName>
    <definedName name="vccot">#REF!</definedName>
    <definedName name="vclcat">#N/A</definedName>
    <definedName name="vcoto" localSheetId="2" hidden="1">{"'Sheet1'!$L$16"}</definedName>
    <definedName name="vcoto" localSheetId="5" hidden="1">{"'Sheet1'!$L$16"}</definedName>
    <definedName name="vcoto" hidden="1">{"'Sheet1'!$L$16"}</definedName>
    <definedName name="vctb" localSheetId="7">#REF!</definedName>
    <definedName name="vctb">#REF!</definedName>
    <definedName name="VCHT" localSheetId="7">#REF!</definedName>
    <definedName name="VCHT">#REF!</definedName>
    <definedName name="vd" localSheetId="7">#REF!</definedName>
    <definedName name="vd">#REF!</definedName>
    <definedName name="vd3p" localSheetId="7">#REF!</definedName>
    <definedName name="vd3p">#REF!</definedName>
    <definedName name="VËn_chuyÓn_duêng_dai_trung_chuyÓn" localSheetId="7">#REF!</definedName>
    <definedName name="VËn_chuyÓn_duêng_dai_trung_chuyÓn">#REF!</definedName>
    <definedName name="VËt_liÖu_phÇn_DZ35kv" localSheetId="7">#REF!</definedName>
    <definedName name="VËt_liÖu_phÇn_DZ35kv">#REF!</definedName>
    <definedName name="VH" localSheetId="2" hidden="1">{"'Sheet1'!$L$16"}</definedName>
    <definedName name="VH" localSheetId="5" hidden="1">{"'Sheet1'!$L$16"}</definedName>
    <definedName name="VH" hidden="1">{"'Sheet1'!$L$16"}</definedName>
    <definedName name="Viet" localSheetId="2" hidden="1">{"'Sheet1'!$L$16"}</definedName>
    <definedName name="Viet" localSheetId="5" hidden="1">{"'Sheet1'!$L$16"}</definedName>
    <definedName name="Viet" hidden="1">{"'Sheet1'!$L$16"}</definedName>
    <definedName name="vkcauthang" localSheetId="7">#REF!</definedName>
    <definedName name="vkcauthang">#REF!</definedName>
    <definedName name="vksan" localSheetId="7">#REF!</definedName>
    <definedName name="vksan">#REF!</definedName>
    <definedName name="vl" localSheetId="7">#REF!</definedName>
    <definedName name="vl">#REF!</definedName>
    <definedName name="VL_RC1" localSheetId="7">#REF!</definedName>
    <definedName name="VL_RC1">#REF!</definedName>
    <definedName name="VL_RC2" localSheetId="7">#REF!</definedName>
    <definedName name="VL_RC2">#REF!</definedName>
    <definedName name="VL_Rnha" localSheetId="7">#REF!</definedName>
    <definedName name="VL_Rnha">#REF!</definedName>
    <definedName name="VL_RS" localSheetId="7">#REF!</definedName>
    <definedName name="VL_RS">#REF!</definedName>
    <definedName name="vl1p" localSheetId="7">#REF!</definedName>
    <definedName name="vl1p">#REF!</definedName>
    <definedName name="vl3p" localSheetId="7">#REF!</definedName>
    <definedName name="vl3p">#REF!</definedName>
    <definedName name="VLBS">#N/A</definedName>
    <definedName name="Vlcap0.7" localSheetId="7">#REF!</definedName>
    <definedName name="Vlcap0.7">#REF!</definedName>
    <definedName name="VLcap1" localSheetId="7">#REF!</definedName>
    <definedName name="VLcap1">#REF!</definedName>
    <definedName name="vlct" localSheetId="2" hidden="1">{"'Sheet1'!$L$16"}</definedName>
    <definedName name="vlct" localSheetId="5" hidden="1">{"'Sheet1'!$L$16"}</definedName>
    <definedName name="vlct" hidden="1">{"'Sheet1'!$L$16"}</definedName>
    <definedName name="VLCT3p" localSheetId="7">#REF!</definedName>
    <definedName name="VLCT3p">#REF!</definedName>
    <definedName name="vldn400" localSheetId="7">#REF!</definedName>
    <definedName name="vldn400">#REF!</definedName>
    <definedName name="vldn600" localSheetId="7">#REF!</definedName>
    <definedName name="vldn600">#REF!</definedName>
    <definedName name="vlgoc" localSheetId="7">#REF!</definedName>
    <definedName name="vlgoc">#REF!</definedName>
    <definedName name="VLIEU" localSheetId="7">#REF!</definedName>
    <definedName name="VLIEU">#REF!</definedName>
    <definedName name="VLM" localSheetId="7">#REF!</definedName>
    <definedName name="VLM">#REF!</definedName>
    <definedName name="vltram" localSheetId="7">#REF!</definedName>
    <definedName name="vltram">#REF!</definedName>
    <definedName name="VLXDHA" localSheetId="7">#REF!</definedName>
    <definedName name="VLXDHA">#REF!</definedName>
    <definedName name="VLXDTA" localSheetId="7">#REF!</definedName>
    <definedName name="VLXDTA">#REF!</definedName>
    <definedName name="VND" localSheetId="7">#REF!</definedName>
    <definedName name="VND">#REF!</definedName>
    <definedName name="voi" localSheetId="7">#REF!</definedName>
    <definedName name="voi">#REF!</definedName>
    <definedName name="vr3p" localSheetId="7">#REF!</definedName>
    <definedName name="vr3p">#REF!</definedName>
    <definedName name="VT" localSheetId="7">#REF!</definedName>
    <definedName name="VT">#REF!</definedName>
    <definedName name="Vu" localSheetId="7">#REF!</definedName>
    <definedName name="Vu">#REF!</definedName>
    <definedName name="Vu_" localSheetId="7">#REF!</definedName>
    <definedName name="Vu_">#REF!</definedName>
    <definedName name="Vua" localSheetId="7">#REF!</definedName>
    <definedName name="Vua">#REF!</definedName>
    <definedName name="vung" localSheetId="7">#REF!</definedName>
    <definedName name="vung">#REF!</definedName>
    <definedName name="vungdcd" localSheetId="7">#REF!</definedName>
    <definedName name="vungdcd">#REF!</definedName>
    <definedName name="vungdcl" localSheetId="7">#REF!</definedName>
    <definedName name="vungdcl">#REF!</definedName>
    <definedName name="vungnhapk" localSheetId="7">#REF!</definedName>
    <definedName name="vungnhapk">#REF!</definedName>
    <definedName name="vungnhapl" localSheetId="7">#REF!</definedName>
    <definedName name="vungnhapl">#REF!</definedName>
    <definedName name="vungxuatk" localSheetId="7">#REF!</definedName>
    <definedName name="vungxuatk">#REF!</definedName>
    <definedName name="vungxuatl" localSheetId="7">#REF!</definedName>
    <definedName name="vungxuatl">#REF!</definedName>
    <definedName name="W" localSheetId="7">#REF!</definedName>
    <definedName name="W">#REF!</definedName>
    <definedName name="W_F" localSheetId="7">#REF!</definedName>
    <definedName name="W_F">#REF!</definedName>
    <definedName name="Winpoints">3</definedName>
    <definedName name="WIRE1">5</definedName>
    <definedName name="wl" localSheetId="7">#REF!</definedName>
    <definedName name="wl">#REF!</definedName>
    <definedName name="wrn.Bang._.ke._.nhan._.hang." localSheetId="2" hidden="1">{#N/A,#N/A,FALSE,"Ke khai NH"}</definedName>
    <definedName name="wrn.Bang._.ke._.nhan._.hang." localSheetId="5" hidden="1">{#N/A,#N/A,FALSE,"Ke khai NH"}</definedName>
    <definedName name="wrn.Bang._.ke._.nhan._.hang." hidden="1">{#N/A,#N/A,FALSE,"Ke khai NH"}</definedName>
    <definedName name="wrn.Che._.do._.duoc._.huong." localSheetId="2"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5" hidden="1">{#N/A,#N/A,FALSE,"Chi tiÆt"}</definedName>
    <definedName name="wrn.chi._.tiÆt." hidden="1">{#N/A,#N/A,FALSE,"Chi tiÆt"}</definedName>
    <definedName name="wrn.Giáy._.bao._.no." localSheetId="2" hidden="1">{#N/A,#N/A,FALSE,"BN"}</definedName>
    <definedName name="wrn.Giáy._.bao._.no." localSheetId="5" hidden="1">{#N/A,#N/A,FALSE,"BN"}</definedName>
    <definedName name="wrn.Giáy._.bao._.no." hidden="1">{#N/A,#N/A,FALSE,"BN"}</definedName>
    <definedName name="wrn.vd." localSheetId="2" hidden="1">{#N/A,#N/A,TRUE,"BT M200 da 10x20"}</definedName>
    <definedName name="wrn.vd." localSheetId="5" hidden="1">{#N/A,#N/A,TRUE,"BT M200 da 10x20"}</definedName>
    <definedName name="wrn.vd." hidden="1">{#N/A,#N/A,TRUE,"BT M200 da 10x20"}</definedName>
    <definedName name="Ws" localSheetId="7">#REF!</definedName>
    <definedName name="Ws">#REF!</definedName>
    <definedName name="Wss" localSheetId="7">#REF!</definedName>
    <definedName name="Wss">#REF!</definedName>
    <definedName name="Wst" localSheetId="7">#REF!</definedName>
    <definedName name="Wst">#REF!</definedName>
    <definedName name="WT">#N/A</definedName>
    <definedName name="Wth" localSheetId="7">#REF!</definedName>
    <definedName name="Wth">#REF!</definedName>
    <definedName name="WW">#N/A</definedName>
    <definedName name="X" localSheetId="7">#REF!</definedName>
    <definedName name="X">#REF!</definedName>
    <definedName name="x1_" localSheetId="7">#REF!</definedName>
    <definedName name="x1_">#REF!</definedName>
    <definedName name="x1pind" localSheetId="7">#REF!</definedName>
    <definedName name="x1pind">#REF!</definedName>
    <definedName name="X1pINDvc" localSheetId="7">#REF!</definedName>
    <definedName name="X1pINDvc">#REF!</definedName>
    <definedName name="x1pint" localSheetId="7">#REF!</definedName>
    <definedName name="x1pint">#REF!</definedName>
    <definedName name="x1ping" localSheetId="7">#REF!</definedName>
    <definedName name="x1ping">#REF!</definedName>
    <definedName name="X1pINGvc" localSheetId="7">#REF!</definedName>
    <definedName name="X1pINGvc">#REF!</definedName>
    <definedName name="x2_" localSheetId="7">#REF!</definedName>
    <definedName name="x2_">#REF!</definedName>
    <definedName name="XADZ04" localSheetId="7">#REF!</definedName>
    <definedName name="XADZ04">#REF!</definedName>
    <definedName name="xaïon" localSheetId="7">#REF!</definedName>
    <definedName name="xaïon">#REF!</definedName>
    <definedName name="xama" localSheetId="7">#REF!</definedName>
    <definedName name="xama">#REF!</definedName>
    <definedName name="xason" localSheetId="7">#REF!</definedName>
    <definedName name="xason">#REF!</definedName>
    <definedName name="XB_80" localSheetId="7">#REF!</definedName>
    <definedName name="XB_80">#REF!</definedName>
    <definedName name="XBCNCKT">5600</definedName>
    <definedName name="XCCDZ22" localSheetId="7">#REF!</definedName>
    <definedName name="XCCDZ22">#REF!</definedName>
    <definedName name="XCCT">0.5</definedName>
    <definedName name="XCT" localSheetId="7">#REF!</definedName>
    <definedName name="XCT">#REF!</definedName>
    <definedName name="XDAUTRAMDZ22" localSheetId="7">#REF!</definedName>
    <definedName name="XDAUTRAMDZ22">#REF!</definedName>
    <definedName name="XDDZ22" localSheetId="7">#REF!</definedName>
    <definedName name="XDDZ22">#REF!</definedName>
    <definedName name="XDGHDZ22" localSheetId="7">#REF!</definedName>
    <definedName name="XDGHDZ22">#REF!</definedName>
    <definedName name="XDHDZ22" localSheetId="7">#REF!</definedName>
    <definedName name="XDHDZ22">#REF!</definedName>
    <definedName name="XDTDZ22" localSheetId="7">#REF!</definedName>
    <definedName name="XDTDZ22">#REF!</definedName>
    <definedName name="xe" localSheetId="7">#REF!</definedName>
    <definedName name="xe">#REF!</definedName>
    <definedName name="Xe_lao_dÇm" localSheetId="7">#REF!</definedName>
    <definedName name="Xe_lao_dÇm">#REF!</definedName>
    <definedName name="xfco" localSheetId="7">#REF!</definedName>
    <definedName name="xfco">#REF!</definedName>
    <definedName name="xfco3p" localSheetId="7">#REF!</definedName>
    <definedName name="xfco3p">#REF!</definedName>
    <definedName name="xfcotnc" localSheetId="7">#REF!</definedName>
    <definedName name="xfcotnc">#REF!</definedName>
    <definedName name="xfcotvl" localSheetId="7">#REF!</definedName>
    <definedName name="xfcotvl">#REF!</definedName>
    <definedName name="XFTDZ22" localSheetId="7">#REF!</definedName>
    <definedName name="XFTDZ22">#REF!</definedName>
    <definedName name="xh" localSheetId="7">#REF!</definedName>
    <definedName name="xh">#REF!</definedName>
    <definedName name="xhn" localSheetId="7">#REF!</definedName>
    <definedName name="xhn">#REF!</definedName>
    <definedName name="XHT" localSheetId="7">#REF!</definedName>
    <definedName name="XHT">#REF!</definedName>
    <definedName name="xig" localSheetId="7">#REF!</definedName>
    <definedName name="xig">#REF!</definedName>
    <definedName name="xig1" localSheetId="7">#REF!</definedName>
    <definedName name="xig1">#REF!</definedName>
    <definedName name="xig1p" localSheetId="7">#REF!</definedName>
    <definedName name="xig1p">#REF!</definedName>
    <definedName name="xig3p" localSheetId="7">#REF!</definedName>
    <definedName name="xig3p">#REF!</definedName>
    <definedName name="xignc3p" localSheetId="7">#REF!</definedName>
    <definedName name="xignc3p">#REF!</definedName>
    <definedName name="XIGvc" localSheetId="7">#REF!</definedName>
    <definedName name="XIGvc">#REF!</definedName>
    <definedName name="xigvl3p" localSheetId="7">#REF!</definedName>
    <definedName name="xigvl3p">#REF!</definedName>
    <definedName name="xin" localSheetId="7">#REF!</definedName>
    <definedName name="xin">#REF!</definedName>
    <definedName name="xin190" localSheetId="7">#REF!</definedName>
    <definedName name="xin190">#REF!</definedName>
    <definedName name="xin1903p" localSheetId="7">#REF!</definedName>
    <definedName name="xin1903p">#REF!</definedName>
    <definedName name="xin2903p" localSheetId="7">#REF!</definedName>
    <definedName name="xin2903p">#REF!</definedName>
    <definedName name="xin290nc3p" localSheetId="7">#REF!</definedName>
    <definedName name="xin290nc3p">#REF!</definedName>
    <definedName name="xin290vl3p" localSheetId="7">#REF!</definedName>
    <definedName name="xin290vl3p">#REF!</definedName>
    <definedName name="xin3p" localSheetId="7">#REF!</definedName>
    <definedName name="xin3p">#REF!</definedName>
    <definedName name="xind" localSheetId="7">#REF!</definedName>
    <definedName name="xind">#REF!</definedName>
    <definedName name="xind1p" localSheetId="7">#REF!</definedName>
    <definedName name="xind1p">#REF!</definedName>
    <definedName name="xind3p" localSheetId="7">#REF!</definedName>
    <definedName name="xind3p">#REF!</definedName>
    <definedName name="xindnc1p" localSheetId="7">#REF!</definedName>
    <definedName name="xindnc1p">#REF!</definedName>
    <definedName name="xindvl1p" localSheetId="7">#REF!</definedName>
    <definedName name="xindvl1p">#REF!</definedName>
    <definedName name="xinnc3p" localSheetId="7">#REF!</definedName>
    <definedName name="xinnc3p">#REF!</definedName>
    <definedName name="xint1p" localSheetId="7">#REF!</definedName>
    <definedName name="xint1p">#REF!</definedName>
    <definedName name="XINvc" localSheetId="7">#REF!</definedName>
    <definedName name="XINvc">#REF!</definedName>
    <definedName name="xinvl3p" localSheetId="7">#REF!</definedName>
    <definedName name="xinvl3p">#REF!</definedName>
    <definedName name="xing1p" localSheetId="7">#REF!</definedName>
    <definedName name="xing1p">#REF!</definedName>
    <definedName name="xingnc1p" localSheetId="7">#REF!</definedName>
    <definedName name="xingnc1p">#REF!</definedName>
    <definedName name="xingvl1p" localSheetId="7">#REF!</definedName>
    <definedName name="xingvl1p">#REF!</definedName>
    <definedName name="xit" localSheetId="7">#REF!</definedName>
    <definedName name="xit">#REF!</definedName>
    <definedName name="xit1" localSheetId="7">#REF!</definedName>
    <definedName name="xit1">#REF!</definedName>
    <definedName name="xit1p" localSheetId="7">#REF!</definedName>
    <definedName name="xit1p">#REF!</definedName>
    <definedName name="xit23p" localSheetId="7">#REF!</definedName>
    <definedName name="xit23p">#REF!</definedName>
    <definedName name="xit2nc3p" localSheetId="7">#REF!</definedName>
    <definedName name="xit2nc3p">#REF!</definedName>
    <definedName name="xit2vl3p" localSheetId="7">#REF!</definedName>
    <definedName name="xit2vl3p">#REF!</definedName>
    <definedName name="xit3p" localSheetId="7">#REF!</definedName>
    <definedName name="xit3p">#REF!</definedName>
    <definedName name="xitnc3p" localSheetId="7">#REF!</definedName>
    <definedName name="xitnc3p">#REF!</definedName>
    <definedName name="XITvc" localSheetId="7">#REF!</definedName>
    <definedName name="XITvc">#REF!</definedName>
    <definedName name="xitvl3p" localSheetId="7">#REF!</definedName>
    <definedName name="xitvl3p">#REF!</definedName>
    <definedName name="xl" localSheetId="7">#REF!</definedName>
    <definedName name="xl">#REF!</definedName>
    <definedName name="xlbs" localSheetId="7">#REF!</definedName>
    <definedName name="xlbs">#REF!</definedName>
    <definedName name="xlc" localSheetId="7">#REF!</definedName>
    <definedName name="xlc">#REF!</definedName>
    <definedName name="xlk" localSheetId="7">#REF!</definedName>
    <definedName name="xlk">#REF!</definedName>
    <definedName name="xls" localSheetId="2" hidden="1">{"'Sheet1'!$L$16"}</definedName>
    <definedName name="xls" localSheetId="5" hidden="1">{"'Sheet1'!$L$16"}</definedName>
    <definedName name="xls" hidden="1">{"'Sheet1'!$L$16"}</definedName>
    <definedName name="xltba22.04" localSheetId="7">#REF!</definedName>
    <definedName name="xltba22.04">#REF!</definedName>
    <definedName name="xlttbninh" localSheetId="2" hidden="1">{"'Sheet1'!$L$16"}</definedName>
    <definedName name="xlttbninh" localSheetId="5" hidden="1">{"'Sheet1'!$L$16"}</definedName>
    <definedName name="xlttbninh" hidden="1">{"'Sheet1'!$L$16"}</definedName>
    <definedName name="xmcax" localSheetId="7">#REF!</definedName>
    <definedName name="xmcax">#REF!</definedName>
    <definedName name="xmp40" localSheetId="7">#REF!</definedName>
    <definedName name="xmp40">#REF!</definedName>
    <definedName name="xn" localSheetId="7">#REF!</definedName>
    <definedName name="xn">#REF!</definedName>
    <definedName name="XNDZ22" localSheetId="7">#REF!</definedName>
    <definedName name="XNDZ22">#REF!</definedName>
    <definedName name="XNTDZ22" localSheetId="7">#REF!</definedName>
    <definedName name="XNTDZ22">#REF!</definedName>
    <definedName name="XNHDZ22" localSheetId="7">#REF!</definedName>
    <definedName name="XNHDZ22">#REF!</definedName>
    <definedName name="xoanhapk" localSheetId="7">#REF!,#REF!</definedName>
    <definedName name="xoanhapk">#REF!,#REF!</definedName>
    <definedName name="xoanhapl" localSheetId="7">#REF!,#REF!</definedName>
    <definedName name="xoanhapl">#REF!,#REF!</definedName>
    <definedName name="xoaxuatk" localSheetId="7">#REF!</definedName>
    <definedName name="xoaxuatk">#REF!</definedName>
    <definedName name="xoaxuatl" localSheetId="7">#REF!</definedName>
    <definedName name="xoaxuatl">#REF!</definedName>
    <definedName name="XPSDZ22" localSheetId="7">#REF!</definedName>
    <definedName name="XPSDZ22">#REF!</definedName>
    <definedName name="XTKKTTC">7500</definedName>
    <definedName name="XUAÁT" localSheetId="7">#REF!</definedName>
    <definedName name="XUAÁT">#REF!</definedName>
    <definedName name="xxx" localSheetId="7">#REF!</definedName>
    <definedName name="xxx">#REF!</definedName>
    <definedName name="xxx1" localSheetId="7">#REF!</definedName>
    <definedName name="xxx1">#REF!</definedName>
    <definedName name="xxx2" localSheetId="7">#REF!</definedName>
    <definedName name="xxx2">#REF!</definedName>
    <definedName name="xxx54" localSheetId="2">#REF!</definedName>
    <definedName name="xxx54" localSheetId="5">#REF!</definedName>
    <definedName name="xxx54">#REF!</definedName>
    <definedName name="Y" localSheetId="14">BlankMacro1</definedName>
    <definedName name="Y" localSheetId="3">BlankMacro1</definedName>
    <definedName name="Y" localSheetId="2">BlankMacro1</definedName>
    <definedName name="Y" localSheetId="5">BlankMacro1</definedName>
    <definedName name="Y" localSheetId="7">BlankMacro1</definedName>
    <definedName name="y" localSheetId="13">#REF!</definedName>
    <definedName name="Y">BlankMacro1</definedName>
    <definedName name="Yellow2000" localSheetId="7">#REF!</definedName>
    <definedName name="Yellow2000">#REF!</definedName>
    <definedName name="Z" localSheetId="7">#REF!</definedName>
    <definedName name="Z">#REF!</definedName>
    <definedName name="Z_F" localSheetId="7">#REF!</definedName>
    <definedName name="Z_F">#REF!</definedName>
    <definedName name="Z_QL" localSheetId="7">#REF!</definedName>
    <definedName name="Z_QL">#REF!</definedName>
    <definedName name="Z_W" localSheetId="7">#REF!</definedName>
    <definedName name="Z_W">#REF!</definedName>
    <definedName name="za" localSheetId="7">#REF!</definedName>
    <definedName name="za">#REF!</definedName>
    <definedName name="Zip" localSheetId="7">#REF!</definedName>
    <definedName name="Zip">#REF!</definedName>
    <definedName name="zl" localSheetId="7">#REF!</definedName>
    <definedName name="zl">#REF!</definedName>
    <definedName name="Zw" localSheetId="7">#REF!</definedName>
    <definedName name="Zw">#REF!</definedName>
    <definedName name="ZXD" localSheetId="7">#REF!</definedName>
    <definedName name="ZXD">#REF!</definedName>
    <definedName name="ZXL" localSheetId="7">#REF!</definedName>
    <definedName name="ZXL">#REF!</definedName>
    <definedName name="ZYX" localSheetId="7">#REF!</definedName>
    <definedName name="ZYX">#REF!</definedName>
    <definedName name="ZZZ" localSheetId="7">#REF!</definedName>
    <definedName name="ZZZ">#REF!</definedName>
    <definedName name="zzz54" localSheetId="2">#REF!</definedName>
    <definedName name="zzz54" localSheetId="5">#REF!</definedName>
    <definedName name="zzz54">#REF!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 name="템플리트모듈1" localSheetId="7">BlankMacro1</definedName>
    <definedName name="템플리트모듈1">BlankMacro1</definedName>
    <definedName name="템플리트모듈2" localSheetId="7">BlankMacro1</definedName>
    <definedName name="템플리트모듈2">BlankMacro1</definedName>
    <definedName name="템플리트모듈3" localSheetId="7">BlankMacro1</definedName>
    <definedName name="템플리트모듈3">BlankMacro1</definedName>
    <definedName name="템플리트모듈4" localSheetId="7">BlankMacro1</definedName>
    <definedName name="템플리트모듈4">BlankMacro1</definedName>
    <definedName name="템플리트모듈5" localSheetId="7">BlankMacro1</definedName>
    <definedName name="템플리트모듈5">BlankMacro1</definedName>
    <definedName name="템플리트모듈6" localSheetId="7">BlankMacro1</definedName>
    <definedName name="템플리트모듈6">BlankMacro1</definedName>
    <definedName name="피팅" localSheetId="7">BlankMacro1</definedName>
    <definedName name="피팅">BlankMacro1</definedName>
  </definedNames>
  <calcPr calcId="162913"/>
  <fileRecoveryPr repairLoad="1"/>
</workbook>
</file>

<file path=xl/calcChain.xml><?xml version="1.0" encoding="utf-8"?>
<calcChain xmlns="http://schemas.openxmlformats.org/spreadsheetml/2006/main">
  <c r="E28" i="58" l="1"/>
  <c r="E30" i="58"/>
  <c r="E63" i="74"/>
  <c r="Q65" i="74"/>
  <c r="I65" i="74" s="1"/>
  <c r="Q64" i="74"/>
  <c r="I64" i="74" s="1"/>
  <c r="Q63" i="74"/>
  <c r="I63" i="74" s="1"/>
  <c r="AB2" i="79"/>
  <c r="D18" i="66"/>
  <c r="D16" i="66"/>
  <c r="O22" i="84"/>
  <c r="L22" i="84"/>
  <c r="L21" i="84"/>
  <c r="L20" i="84"/>
  <c r="T17" i="74"/>
  <c r="T18" i="74"/>
  <c r="T23" i="74"/>
  <c r="T25" i="74"/>
  <c r="T26" i="74"/>
  <c r="T28" i="74"/>
  <c r="T29" i="74"/>
  <c r="T31" i="74"/>
  <c r="T34" i="74"/>
  <c r="T35" i="74"/>
  <c r="T36" i="74"/>
  <c r="T37" i="74"/>
  <c r="T38" i="74"/>
  <c r="T39" i="74"/>
  <c r="S44" i="74"/>
  <c r="T44" i="74"/>
  <c r="T45" i="74"/>
  <c r="T46" i="74"/>
  <c r="T47" i="74"/>
  <c r="T48" i="74"/>
  <c r="T52" i="74"/>
  <c r="T57" i="74"/>
  <c r="T60" i="74"/>
  <c r="G60" i="74"/>
  <c r="S60" i="74" s="1"/>
  <c r="G51" i="74"/>
  <c r="G50" i="74"/>
  <c r="G49" i="74"/>
  <c r="G30" i="74"/>
  <c r="C17" i="74"/>
  <c r="E55" i="74"/>
  <c r="E40" i="74"/>
  <c r="E33" i="74"/>
  <c r="E32" i="74"/>
  <c r="E27" i="74"/>
  <c r="E24" i="74"/>
  <c r="E22" i="74"/>
  <c r="E21" i="74"/>
  <c r="E20" i="74"/>
  <c r="H55" i="74"/>
  <c r="F55" i="74" s="1"/>
  <c r="H41" i="74"/>
  <c r="H32" i="74"/>
  <c r="T32" i="74" s="1"/>
  <c r="H27" i="74"/>
  <c r="H21" i="74"/>
  <c r="C18" i="62" s="1"/>
  <c r="H20" i="74"/>
  <c r="E25" i="69"/>
  <c r="H33" i="74" s="1"/>
  <c r="E20" i="69"/>
  <c r="E14" i="69"/>
  <c r="H40" i="74" s="1"/>
  <c r="E24" i="69"/>
  <c r="H22" i="74" s="1"/>
  <c r="E23" i="69"/>
  <c r="H24" i="74" s="1"/>
  <c r="E15" i="69"/>
  <c r="E18" i="69"/>
  <c r="E17" i="69"/>
  <c r="E16" i="69"/>
  <c r="G22" i="83"/>
  <c r="G29" i="83"/>
  <c r="G40" i="83"/>
  <c r="H39" i="83"/>
  <c r="G36" i="83"/>
  <c r="D16" i="83"/>
  <c r="C16" i="83" s="1"/>
  <c r="C22" i="83"/>
  <c r="D40" i="83"/>
  <c r="D15" i="83"/>
  <c r="D37" i="81"/>
  <c r="E37" i="81"/>
  <c r="D34" i="81"/>
  <c r="E34" i="81" s="1"/>
  <c r="D33" i="81"/>
  <c r="G37" i="83" s="1"/>
  <c r="H35" i="81"/>
  <c r="H27" i="81"/>
  <c r="H32" i="81" s="1"/>
  <c r="G3" i="81"/>
  <c r="F37" i="81"/>
  <c r="F20" i="81"/>
  <c r="F21" i="81"/>
  <c r="F22" i="81"/>
  <c r="E25" i="81"/>
  <c r="F24" i="81"/>
  <c r="F23" i="81" s="1"/>
  <c r="F26" i="81"/>
  <c r="F25" i="81"/>
  <c r="C15" i="81"/>
  <c r="E32" i="81"/>
  <c r="E33" i="81"/>
  <c r="E40" i="58"/>
  <c r="AB18" i="69"/>
  <c r="AB13" i="69" s="1"/>
  <c r="AA27" i="69"/>
  <c r="X27" i="69"/>
  <c r="W27" i="69" s="1"/>
  <c r="T27" i="69"/>
  <c r="P27" i="69" s="1"/>
  <c r="Q27" i="69"/>
  <c r="M27" i="69"/>
  <c r="J27" i="69"/>
  <c r="I27" i="69" s="1"/>
  <c r="C27" i="69"/>
  <c r="AA26" i="69"/>
  <c r="X26" i="69"/>
  <c r="W26" i="69"/>
  <c r="T26" i="69"/>
  <c r="Q26" i="69"/>
  <c r="P26" i="69" s="1"/>
  <c r="M26" i="69"/>
  <c r="I26" i="69"/>
  <c r="J26" i="69"/>
  <c r="G26" i="69"/>
  <c r="AD26" i="69" s="1"/>
  <c r="C26" i="69"/>
  <c r="AA25" i="69"/>
  <c r="X25" i="69"/>
  <c r="W25" i="69" s="1"/>
  <c r="T25" i="69"/>
  <c r="Q25" i="69"/>
  <c r="M25" i="69"/>
  <c r="J25" i="69"/>
  <c r="G25" i="69" s="1"/>
  <c r="C25" i="69"/>
  <c r="AA24" i="69"/>
  <c r="X24" i="69"/>
  <c r="W24" i="69" s="1"/>
  <c r="T24" i="69"/>
  <c r="Q24" i="69"/>
  <c r="M24" i="69"/>
  <c r="J24" i="69"/>
  <c r="I24" i="69" s="1"/>
  <c r="C24" i="69"/>
  <c r="E14" i="57"/>
  <c r="E15" i="57"/>
  <c r="O17" i="71"/>
  <c r="P17" i="71"/>
  <c r="P16" i="71"/>
  <c r="N16" i="71"/>
  <c r="N12" i="71"/>
  <c r="E51" i="82"/>
  <c r="E50" i="82"/>
  <c r="E48" i="82"/>
  <c r="D48" i="82"/>
  <c r="D47" i="82" s="1"/>
  <c r="D45" i="82" s="1"/>
  <c r="E47" i="82"/>
  <c r="C47" i="82"/>
  <c r="E46" i="82"/>
  <c r="E45" i="82" s="1"/>
  <c r="G45" i="82"/>
  <c r="F45" i="82"/>
  <c r="C45" i="82"/>
  <c r="E44" i="82"/>
  <c r="E43" i="82"/>
  <c r="E42" i="82"/>
  <c r="I42" i="82"/>
  <c r="E41" i="82"/>
  <c r="D41" i="82"/>
  <c r="E40" i="82"/>
  <c r="E39" i="82"/>
  <c r="D39" i="82"/>
  <c r="I39" i="82" s="1"/>
  <c r="E38" i="82"/>
  <c r="D38" i="82"/>
  <c r="E37" i="82"/>
  <c r="I37" i="82" s="1"/>
  <c r="D37" i="82"/>
  <c r="E36" i="82"/>
  <c r="E35" i="82"/>
  <c r="E34" i="82"/>
  <c r="I34" i="82" s="1"/>
  <c r="E33" i="82"/>
  <c r="E32" i="82"/>
  <c r="E31" i="82"/>
  <c r="D31" i="82"/>
  <c r="E30" i="82"/>
  <c r="D30" i="82"/>
  <c r="D28" i="82" s="1"/>
  <c r="E29" i="82"/>
  <c r="E28" i="82" s="1"/>
  <c r="G28" i="82"/>
  <c r="F28" i="82"/>
  <c r="L31" i="82" s="1"/>
  <c r="E27" i="82"/>
  <c r="E26" i="82"/>
  <c r="D26" i="82"/>
  <c r="C26" i="82"/>
  <c r="C10" i="82" s="1"/>
  <c r="C9" i="82" s="1"/>
  <c r="C52" i="82" s="1"/>
  <c r="E25" i="82"/>
  <c r="E24" i="82"/>
  <c r="E23" i="82"/>
  <c r="E22" i="82"/>
  <c r="E21" i="82"/>
  <c r="I21" i="82" s="1"/>
  <c r="D21" i="82"/>
  <c r="E20" i="82"/>
  <c r="E19" i="82"/>
  <c r="E18" i="82"/>
  <c r="E17" i="82"/>
  <c r="E16" i="82"/>
  <c r="E15" i="82"/>
  <c r="E14" i="82"/>
  <c r="D15" i="81" s="1"/>
  <c r="G19" i="83" s="1"/>
  <c r="F19" i="83" s="1"/>
  <c r="D14" i="82"/>
  <c r="D11" i="82"/>
  <c r="D10" i="82" s="1"/>
  <c r="D9" i="82" s="1"/>
  <c r="E13" i="82"/>
  <c r="E12" i="82"/>
  <c r="E11" i="82" s="1"/>
  <c r="G11" i="82"/>
  <c r="G10" i="82" s="1"/>
  <c r="G9" i="82" s="1"/>
  <c r="F11" i="82"/>
  <c r="K15" i="82" s="1"/>
  <c r="C11" i="82"/>
  <c r="C26" i="58"/>
  <c r="E26" i="58"/>
  <c r="C27" i="58"/>
  <c r="C16" i="58"/>
  <c r="C15" i="58" s="1"/>
  <c r="K22" i="74"/>
  <c r="P20" i="62"/>
  <c r="D20" i="62" s="1"/>
  <c r="N52" i="62"/>
  <c r="D52" i="62" s="1"/>
  <c r="N52" i="74"/>
  <c r="N53" i="74"/>
  <c r="N54" i="74"/>
  <c r="N55" i="74"/>
  <c r="K49" i="74"/>
  <c r="K19" i="74"/>
  <c r="T19" i="74" s="1"/>
  <c r="P16" i="62"/>
  <c r="D16" i="62" s="1"/>
  <c r="P22" i="74"/>
  <c r="P24" i="74"/>
  <c r="N24" i="74"/>
  <c r="K24" i="74"/>
  <c r="K41" i="74"/>
  <c r="E37" i="62"/>
  <c r="K40" i="74"/>
  <c r="P40" i="74"/>
  <c r="N40" i="74"/>
  <c r="K42" i="74"/>
  <c r="T42" i="74" s="1"/>
  <c r="P39" i="62"/>
  <c r="D39" i="62" s="1"/>
  <c r="M41" i="62"/>
  <c r="M18" i="62"/>
  <c r="E18" i="62"/>
  <c r="K21" i="74"/>
  <c r="P21" i="74"/>
  <c r="M15" i="62"/>
  <c r="K43" i="74"/>
  <c r="T43" i="74" s="1"/>
  <c r="K33" i="74"/>
  <c r="P30" i="62" s="1"/>
  <c r="P33" i="74"/>
  <c r="K27" i="74"/>
  <c r="H24" i="62"/>
  <c r="D24" i="62" s="1"/>
  <c r="E32" i="62"/>
  <c r="D32" i="62" s="1"/>
  <c r="Q32" i="62" s="1"/>
  <c r="E33" i="62"/>
  <c r="E34" i="62"/>
  <c r="D34" i="62" s="1"/>
  <c r="E35" i="62"/>
  <c r="D35" i="62" s="1"/>
  <c r="E36" i="62"/>
  <c r="D36" i="62" s="1"/>
  <c r="E31" i="62"/>
  <c r="D31" i="62" s="1"/>
  <c r="K20" i="74"/>
  <c r="P20" i="74"/>
  <c r="E17" i="62"/>
  <c r="P14" i="62"/>
  <c r="D14" i="62" s="1"/>
  <c r="Q14" i="62" s="1"/>
  <c r="M26" i="62"/>
  <c r="M27" i="62"/>
  <c r="L47" i="62"/>
  <c r="L48" i="62"/>
  <c r="D48" i="62" s="1"/>
  <c r="N50" i="62"/>
  <c r="D50" i="62" s="1"/>
  <c r="N51" i="62"/>
  <c r="D51" i="62" s="1"/>
  <c r="N53" i="62"/>
  <c r="D53" i="62" s="1"/>
  <c r="L54" i="62"/>
  <c r="D54" i="62"/>
  <c r="Z23" i="84"/>
  <c r="AA23" i="84"/>
  <c r="Z24" i="84"/>
  <c r="AA24" i="84"/>
  <c r="Z25" i="84"/>
  <c r="AA25" i="84"/>
  <c r="Z26" i="84"/>
  <c r="AA26" i="84"/>
  <c r="Z27" i="84"/>
  <c r="AA27" i="84"/>
  <c r="Z28" i="84"/>
  <c r="AA28" i="84"/>
  <c r="Z29" i="84"/>
  <c r="AA29" i="84"/>
  <c r="Z30" i="84"/>
  <c r="AA30" i="84"/>
  <c r="Z31" i="84"/>
  <c r="AA31" i="84"/>
  <c r="Z32" i="84"/>
  <c r="AA32" i="84"/>
  <c r="Z33" i="84"/>
  <c r="AA33" i="84"/>
  <c r="Z34" i="84"/>
  <c r="AA34" i="84"/>
  <c r="Z35" i="84"/>
  <c r="AA35" i="84"/>
  <c r="Z36" i="84"/>
  <c r="AA36" i="84"/>
  <c r="Z37" i="84"/>
  <c r="AA37" i="84"/>
  <c r="Z38" i="84"/>
  <c r="AA38" i="84"/>
  <c r="Z39" i="84"/>
  <c r="AA39" i="84"/>
  <c r="Z40" i="84"/>
  <c r="AA40" i="84"/>
  <c r="N23" i="84"/>
  <c r="Y23" i="84" s="1"/>
  <c r="N24" i="84"/>
  <c r="Y24" i="84" s="1"/>
  <c r="N25" i="84"/>
  <c r="Y25" i="84" s="1"/>
  <c r="N26" i="84"/>
  <c r="Y26" i="84" s="1"/>
  <c r="N27" i="84"/>
  <c r="Y27" i="84" s="1"/>
  <c r="N28" i="84"/>
  <c r="Y28" i="84" s="1"/>
  <c r="N29" i="84"/>
  <c r="Y29" i="84" s="1"/>
  <c r="N30" i="84"/>
  <c r="Y30" i="84" s="1"/>
  <c r="N31" i="84"/>
  <c r="Y31" i="84" s="1"/>
  <c r="N32" i="84"/>
  <c r="Y32" i="84" s="1"/>
  <c r="N33" i="84"/>
  <c r="Y33" i="84" s="1"/>
  <c r="N34" i="84"/>
  <c r="Y34" i="84" s="1"/>
  <c r="N35" i="84"/>
  <c r="Y35" i="84" s="1"/>
  <c r="N36" i="84"/>
  <c r="Y36" i="84" s="1"/>
  <c r="N37" i="84"/>
  <c r="Y37" i="84" s="1"/>
  <c r="N38" i="84"/>
  <c r="Y38" i="84" s="1"/>
  <c r="N39" i="84"/>
  <c r="Y39" i="84" s="1"/>
  <c r="N40" i="84"/>
  <c r="Y40" i="84" s="1"/>
  <c r="G48" i="83"/>
  <c r="J20" i="84"/>
  <c r="G20" i="84" s="1"/>
  <c r="J21" i="84"/>
  <c r="G21" i="84" s="1"/>
  <c r="C21" i="84" s="1"/>
  <c r="J22" i="84"/>
  <c r="G22" i="84" s="1"/>
  <c r="C22" i="84" s="1"/>
  <c r="D19" i="84"/>
  <c r="E19" i="84"/>
  <c r="F19" i="84"/>
  <c r="H19" i="84"/>
  <c r="I19" i="84"/>
  <c r="K19" i="84"/>
  <c r="L19" i="84"/>
  <c r="M19" i="84"/>
  <c r="O19" i="84"/>
  <c r="P19" i="84"/>
  <c r="Q19" i="84"/>
  <c r="S19" i="84"/>
  <c r="T19" i="84"/>
  <c r="V19" i="84"/>
  <c r="X19" i="84"/>
  <c r="C23" i="84"/>
  <c r="C24" i="84"/>
  <c r="C25" i="84"/>
  <c r="C26" i="84"/>
  <c r="C27" i="84"/>
  <c r="C28" i="84"/>
  <c r="C29" i="84"/>
  <c r="C30" i="84"/>
  <c r="C31" i="84"/>
  <c r="C32" i="84"/>
  <c r="C33" i="84"/>
  <c r="C34" i="84"/>
  <c r="C35" i="84"/>
  <c r="C36" i="84"/>
  <c r="C37" i="84"/>
  <c r="C38" i="84"/>
  <c r="C39" i="84"/>
  <c r="C40" i="84"/>
  <c r="D18" i="84"/>
  <c r="E18" i="84" s="1"/>
  <c r="F18" i="84" s="1"/>
  <c r="G18" i="84" s="1"/>
  <c r="H18" i="84" s="1"/>
  <c r="I18" i="84" s="1"/>
  <c r="J18" i="84" s="1"/>
  <c r="K18" i="84" s="1"/>
  <c r="L18" i="84" s="1"/>
  <c r="M18" i="84" s="1"/>
  <c r="N18" i="84" s="1"/>
  <c r="O18" i="84" s="1"/>
  <c r="P18" i="84" s="1"/>
  <c r="Q18" i="84" s="1"/>
  <c r="R18" i="84" s="1"/>
  <c r="S18" i="84" s="1"/>
  <c r="T18" i="84" s="1"/>
  <c r="U18" i="84" s="1"/>
  <c r="V18" i="84" s="1"/>
  <c r="W18" i="84" s="1"/>
  <c r="X18" i="84" s="1"/>
  <c r="A21" i="84"/>
  <c r="A22" i="84"/>
  <c r="A23" i="84"/>
  <c r="A24" i="84" s="1"/>
  <c r="A25" i="84" s="1"/>
  <c r="A26" i="84" s="1"/>
  <c r="A27" i="84" s="1"/>
  <c r="A28" i="84" s="1"/>
  <c r="A29" i="84" s="1"/>
  <c r="A30" i="84" s="1"/>
  <c r="A31" i="84" s="1"/>
  <c r="A32" i="84" s="1"/>
  <c r="A33" i="84" s="1"/>
  <c r="A34" i="84" s="1"/>
  <c r="A35" i="84" s="1"/>
  <c r="A36" i="84" s="1"/>
  <c r="A37" i="84" s="1"/>
  <c r="A38" i="84" s="1"/>
  <c r="A39" i="84" s="1"/>
  <c r="A40" i="84" s="1"/>
  <c r="P15" i="62"/>
  <c r="D15" i="62" s="1"/>
  <c r="Q15" i="62" s="1"/>
  <c r="K13" i="62"/>
  <c r="P41" i="62"/>
  <c r="D41" i="62" s="1"/>
  <c r="P22" i="62"/>
  <c r="D22" i="62" s="1"/>
  <c r="P23" i="62"/>
  <c r="D23" i="62" s="1"/>
  <c r="C15" i="62"/>
  <c r="C16" i="62"/>
  <c r="C17" i="62"/>
  <c r="C20" i="62"/>
  <c r="C22" i="62"/>
  <c r="C23" i="62"/>
  <c r="C24" i="62"/>
  <c r="C25" i="62"/>
  <c r="C26" i="62"/>
  <c r="C27" i="62"/>
  <c r="C28" i="62"/>
  <c r="C31" i="62"/>
  <c r="C32" i="62"/>
  <c r="C33" i="62"/>
  <c r="C34" i="62"/>
  <c r="C35" i="62"/>
  <c r="C36" i="62"/>
  <c r="C38" i="62"/>
  <c r="C39" i="62"/>
  <c r="C40" i="62"/>
  <c r="C41" i="62"/>
  <c r="C42" i="62"/>
  <c r="C43" i="62"/>
  <c r="C44" i="62"/>
  <c r="Q44" i="62" s="1"/>
  <c r="C45" i="62"/>
  <c r="C46" i="62"/>
  <c r="C47" i="62"/>
  <c r="C48" i="62"/>
  <c r="C49" i="62"/>
  <c r="C50" i="62"/>
  <c r="C51" i="62"/>
  <c r="C52" i="62"/>
  <c r="C53" i="62"/>
  <c r="C54" i="62"/>
  <c r="C55" i="62"/>
  <c r="C56" i="62"/>
  <c r="C57" i="62"/>
  <c r="C14" i="62"/>
  <c r="D12" i="71"/>
  <c r="C13" i="71"/>
  <c r="I59" i="74"/>
  <c r="F56" i="62" s="1"/>
  <c r="F59" i="74"/>
  <c r="C59" i="74"/>
  <c r="E48" i="83"/>
  <c r="E49" i="83"/>
  <c r="H35" i="83"/>
  <c r="H26" i="83" s="1"/>
  <c r="D16" i="74"/>
  <c r="E9" i="74"/>
  <c r="C18" i="74"/>
  <c r="C19" i="74"/>
  <c r="C20" i="74"/>
  <c r="C21" i="74"/>
  <c r="C22" i="74"/>
  <c r="C23" i="74"/>
  <c r="C24" i="74"/>
  <c r="C25" i="74"/>
  <c r="C26" i="74"/>
  <c r="C27" i="74"/>
  <c r="C28" i="74"/>
  <c r="C29" i="74"/>
  <c r="C30" i="74"/>
  <c r="C31" i="74"/>
  <c r="R31" i="74"/>
  <c r="C32" i="74"/>
  <c r="C33" i="74"/>
  <c r="C34" i="74"/>
  <c r="C35" i="74"/>
  <c r="C36" i="74"/>
  <c r="C37" i="74"/>
  <c r="C38" i="74"/>
  <c r="C39" i="74"/>
  <c r="C40" i="74"/>
  <c r="C41" i="74"/>
  <c r="C42" i="74"/>
  <c r="C43" i="74"/>
  <c r="C44" i="74"/>
  <c r="C45" i="74"/>
  <c r="C46" i="74"/>
  <c r="C47" i="74"/>
  <c r="C48" i="74"/>
  <c r="C49" i="74"/>
  <c r="C50" i="74"/>
  <c r="C51" i="74"/>
  <c r="C52" i="74"/>
  <c r="C53" i="74"/>
  <c r="C54" i="74"/>
  <c r="C55" i="74"/>
  <c r="C56" i="74"/>
  <c r="C57" i="74"/>
  <c r="C58" i="74"/>
  <c r="C60" i="74"/>
  <c r="R60" i="74"/>
  <c r="C9" i="74"/>
  <c r="I58" i="74"/>
  <c r="G55" i="62" s="1"/>
  <c r="F58" i="74"/>
  <c r="D33" i="62"/>
  <c r="Q33" i="62" s="1"/>
  <c r="D44" i="62"/>
  <c r="N44" i="74"/>
  <c r="I44" i="74"/>
  <c r="R44" i="74"/>
  <c r="F44" i="74"/>
  <c r="N43" i="74"/>
  <c r="I43" i="74" s="1"/>
  <c r="R43" i="74" s="1"/>
  <c r="F43" i="74"/>
  <c r="N42" i="74"/>
  <c r="F42" i="74"/>
  <c r="K17" i="83"/>
  <c r="J22" i="83"/>
  <c r="K22" i="83"/>
  <c r="J25" i="83"/>
  <c r="J29" i="83"/>
  <c r="J32" i="83"/>
  <c r="K32" i="83"/>
  <c r="J36" i="83"/>
  <c r="K36" i="83"/>
  <c r="K37" i="83"/>
  <c r="K40" i="83"/>
  <c r="C43" i="83"/>
  <c r="D39" i="81"/>
  <c r="G43" i="83" s="1"/>
  <c r="F43" i="83" s="1"/>
  <c r="H16" i="83"/>
  <c r="K16" i="83"/>
  <c r="G41" i="83"/>
  <c r="F40" i="83"/>
  <c r="E39" i="83"/>
  <c r="K39" i="83" s="1"/>
  <c r="D41" i="83"/>
  <c r="D39" i="83"/>
  <c r="C37" i="83"/>
  <c r="D35" i="83"/>
  <c r="C38" i="83"/>
  <c r="E35" i="83"/>
  <c r="E34" i="83"/>
  <c r="K38" i="83"/>
  <c r="C36" i="83"/>
  <c r="E15" i="83"/>
  <c r="F18" i="83"/>
  <c r="F20" i="83"/>
  <c r="F21" i="83"/>
  <c r="F22" i="83"/>
  <c r="I22" i="83" s="1"/>
  <c r="F23" i="83"/>
  <c r="F24" i="83"/>
  <c r="F25" i="83"/>
  <c r="F27" i="83"/>
  <c r="F29" i="83"/>
  <c r="F30" i="83"/>
  <c r="F31" i="83"/>
  <c r="F32" i="83"/>
  <c r="F33" i="83"/>
  <c r="F36" i="83"/>
  <c r="F42" i="83"/>
  <c r="C17" i="83"/>
  <c r="C18" i="83"/>
  <c r="C19" i="83"/>
  <c r="C20" i="83"/>
  <c r="C21" i="83"/>
  <c r="C23" i="83"/>
  <c r="C24" i="83"/>
  <c r="C25" i="83"/>
  <c r="I25" i="83"/>
  <c r="C26" i="83"/>
  <c r="C27" i="83"/>
  <c r="C28" i="83"/>
  <c r="C29" i="83"/>
  <c r="C30" i="83"/>
  <c r="C31" i="83"/>
  <c r="C32" i="83"/>
  <c r="C33" i="83"/>
  <c r="C42" i="83"/>
  <c r="A29" i="83"/>
  <c r="H13" i="83"/>
  <c r="E13" i="83"/>
  <c r="K50" i="82"/>
  <c r="K42" i="82"/>
  <c r="I41" i="82"/>
  <c r="I40" i="82"/>
  <c r="L39" i="82"/>
  <c r="K38" i="82"/>
  <c r="I38" i="82"/>
  <c r="K37" i="82"/>
  <c r="K36" i="82"/>
  <c r="I36" i="82"/>
  <c r="I35" i="82"/>
  <c r="I32" i="82"/>
  <c r="AD31" i="82"/>
  <c r="AD33" i="82" s="1"/>
  <c r="K30" i="82"/>
  <c r="I29" i="82"/>
  <c r="M28" i="82"/>
  <c r="M29" i="82" s="1"/>
  <c r="K28" i="82"/>
  <c r="L6" i="82"/>
  <c r="M25" i="82"/>
  <c r="J24" i="82"/>
  <c r="K22" i="82"/>
  <c r="J22" i="82"/>
  <c r="I22" i="82"/>
  <c r="K20" i="82"/>
  <c r="L18" i="82"/>
  <c r="K18" i="82"/>
  <c r="I14" i="82"/>
  <c r="K13" i="82"/>
  <c r="K11" i="82"/>
  <c r="L10" i="82"/>
  <c r="K9" i="82"/>
  <c r="K35" i="82"/>
  <c r="K31" i="82"/>
  <c r="E18" i="81"/>
  <c r="E21" i="81"/>
  <c r="E28" i="81"/>
  <c r="D35" i="81"/>
  <c r="D31" i="57"/>
  <c r="E31" i="57" s="1"/>
  <c r="E36" i="81"/>
  <c r="C31" i="81"/>
  <c r="C12" i="81"/>
  <c r="A25" i="81"/>
  <c r="D9" i="81"/>
  <c r="AB120" i="79"/>
  <c r="J118" i="79"/>
  <c r="J116" i="79"/>
  <c r="K72" i="79"/>
  <c r="J72" i="79"/>
  <c r="J71" i="79"/>
  <c r="K71" i="79"/>
  <c r="J70" i="79"/>
  <c r="K70" i="79"/>
  <c r="K68" i="79"/>
  <c r="AB70" i="79"/>
  <c r="J57" i="79"/>
  <c r="K56" i="79"/>
  <c r="J56" i="79"/>
  <c r="J54" i="79"/>
  <c r="L54" i="79"/>
  <c r="L55" i="79"/>
  <c r="K54" i="79"/>
  <c r="K53" i="79"/>
  <c r="J53" i="79"/>
  <c r="L52" i="79"/>
  <c r="L53" i="79" s="1"/>
  <c r="K52" i="79"/>
  <c r="J52" i="79"/>
  <c r="K46" i="79"/>
  <c r="J46" i="79"/>
  <c r="AB45" i="79"/>
  <c r="J43" i="79"/>
  <c r="K43" i="79"/>
  <c r="J42" i="79"/>
  <c r="K38" i="79"/>
  <c r="J38" i="79"/>
  <c r="K24" i="79"/>
  <c r="J24" i="79"/>
  <c r="J21" i="79"/>
  <c r="J20" i="79"/>
  <c r="L5" i="79"/>
  <c r="L13" i="79"/>
  <c r="L12" i="79"/>
  <c r="C10" i="57"/>
  <c r="C19" i="58"/>
  <c r="E19" i="58" s="1"/>
  <c r="C18" i="58"/>
  <c r="E18" i="58" s="1"/>
  <c r="K9" i="74"/>
  <c r="I12" i="75"/>
  <c r="J12" i="75" s="1"/>
  <c r="D12" i="75"/>
  <c r="E12" i="75" s="1"/>
  <c r="F12" i="75" s="1"/>
  <c r="T19" i="69"/>
  <c r="T21" i="69"/>
  <c r="T22" i="69"/>
  <c r="AA19" i="69"/>
  <c r="AA21" i="69"/>
  <c r="AA22" i="69"/>
  <c r="AA23" i="69"/>
  <c r="AA28" i="69"/>
  <c r="AA20" i="69"/>
  <c r="AA18" i="69"/>
  <c r="AA16" i="69"/>
  <c r="AA14" i="69"/>
  <c r="T18" i="69"/>
  <c r="U13" i="69"/>
  <c r="J18" i="69"/>
  <c r="J22" i="69"/>
  <c r="J15" i="69"/>
  <c r="F138" i="78"/>
  <c r="F137" i="78"/>
  <c r="F136" i="78"/>
  <c r="F134" i="78"/>
  <c r="K135" i="78"/>
  <c r="F135" i="78"/>
  <c r="E134" i="78"/>
  <c r="D134" i="78"/>
  <c r="F133" i="78"/>
  <c r="F132" i="78" s="1"/>
  <c r="F125" i="78" s="1"/>
  <c r="E132" i="78"/>
  <c r="D132" i="78"/>
  <c r="F131" i="78"/>
  <c r="F130" i="78"/>
  <c r="F129" i="78"/>
  <c r="I137" i="78" s="1"/>
  <c r="F128" i="78"/>
  <c r="F127" i="78"/>
  <c r="E126" i="78"/>
  <c r="E125" i="78"/>
  <c r="D126" i="78"/>
  <c r="D125" i="78" s="1"/>
  <c r="F124" i="78"/>
  <c r="F123" i="78"/>
  <c r="F122" i="78"/>
  <c r="F121" i="78"/>
  <c r="F120" i="78"/>
  <c r="F119" i="78"/>
  <c r="E120" i="78"/>
  <c r="E119" i="78" s="1"/>
  <c r="D120" i="78"/>
  <c r="D119" i="78" s="1"/>
  <c r="F118" i="78"/>
  <c r="E117" i="78"/>
  <c r="D117" i="78"/>
  <c r="F117" i="78" s="1"/>
  <c r="G84" i="78" s="1"/>
  <c r="F116" i="78"/>
  <c r="F115" i="78" s="1"/>
  <c r="E115" i="78"/>
  <c r="D115" i="78"/>
  <c r="F114" i="78"/>
  <c r="F113" i="78"/>
  <c r="E113" i="78"/>
  <c r="D113" i="78"/>
  <c r="F112" i="78"/>
  <c r="E111" i="78"/>
  <c r="D111" i="78"/>
  <c r="F111" i="78"/>
  <c r="F110" i="78"/>
  <c r="F109" i="78"/>
  <c r="E108" i="78"/>
  <c r="D108" i="78"/>
  <c r="F108" i="78" s="1"/>
  <c r="F107" i="78"/>
  <c r="F106" i="78"/>
  <c r="F105" i="78"/>
  <c r="F104" i="78" s="1"/>
  <c r="F103" i="78" s="1"/>
  <c r="E104" i="78"/>
  <c r="E103" i="78" s="1"/>
  <c r="D104" i="78"/>
  <c r="D103" i="78"/>
  <c r="F102" i="78"/>
  <c r="F101" i="78"/>
  <c r="F100" i="78"/>
  <c r="E99" i="78"/>
  <c r="F99" i="78"/>
  <c r="D99" i="78"/>
  <c r="D98" i="78" s="1"/>
  <c r="F98" i="78" s="1"/>
  <c r="F97" i="78"/>
  <c r="F96" i="78"/>
  <c r="F95" i="78"/>
  <c r="F94" i="78" s="1"/>
  <c r="E94" i="78"/>
  <c r="D94" i="78"/>
  <c r="F93" i="78"/>
  <c r="F92" i="78"/>
  <c r="F91" i="78"/>
  <c r="F90" i="78" s="1"/>
  <c r="F89" i="78" s="1"/>
  <c r="E90" i="78"/>
  <c r="E89" i="78" s="1"/>
  <c r="E84" i="78" s="1"/>
  <c r="D90" i="78"/>
  <c r="D89" i="78"/>
  <c r="F88" i="78"/>
  <c r="F87" i="78"/>
  <c r="F86" i="78"/>
  <c r="F85" i="78" s="1"/>
  <c r="F84" i="78" s="1"/>
  <c r="E85" i="78"/>
  <c r="D85" i="78"/>
  <c r="F83" i="78"/>
  <c r="F82" i="78"/>
  <c r="F79" i="78" s="1"/>
  <c r="F81" i="78"/>
  <c r="F80" i="78"/>
  <c r="E79" i="78"/>
  <c r="D79" i="78"/>
  <c r="F78" i="78"/>
  <c r="F77" i="78"/>
  <c r="F76" i="78"/>
  <c r="F75" i="78"/>
  <c r="F74" i="78" s="1"/>
  <c r="F73" i="78" s="1"/>
  <c r="E74" i="78"/>
  <c r="E73" i="78" s="1"/>
  <c r="D74" i="78"/>
  <c r="D73" i="78" s="1"/>
  <c r="F72" i="78"/>
  <c r="F71" i="78"/>
  <c r="F70" i="78"/>
  <c r="F69" i="78"/>
  <c r="F68" i="78" s="1"/>
  <c r="E68" i="78"/>
  <c r="D68" i="78"/>
  <c r="E67" i="78"/>
  <c r="T20" i="69"/>
  <c r="F66" i="78"/>
  <c r="F63" i="78" s="1"/>
  <c r="F62" i="78" s="1"/>
  <c r="F65" i="78"/>
  <c r="F64" i="78"/>
  <c r="D63" i="78"/>
  <c r="D62" i="78" s="1"/>
  <c r="F61" i="78"/>
  <c r="F60" i="78"/>
  <c r="F59" i="78"/>
  <c r="F58" i="78"/>
  <c r="F57" i="78" s="1"/>
  <c r="E57" i="78"/>
  <c r="D57" i="78"/>
  <c r="F56" i="78"/>
  <c r="F55" i="78" s="1"/>
  <c r="E55" i="78"/>
  <c r="D55" i="78"/>
  <c r="F54" i="78"/>
  <c r="G29" i="78" s="1"/>
  <c r="F53" i="78"/>
  <c r="F52" i="78" s="1"/>
  <c r="F50" i="78" s="1"/>
  <c r="E52" i="78"/>
  <c r="E50" i="78" s="1"/>
  <c r="E49" i="78" s="1"/>
  <c r="D52" i="78"/>
  <c r="D50" i="78" s="1"/>
  <c r="D49" i="78" s="1"/>
  <c r="F51" i="78"/>
  <c r="F48" i="78"/>
  <c r="F47" i="78"/>
  <c r="F46" i="78"/>
  <c r="F45" i="78"/>
  <c r="F44" i="78"/>
  <c r="F43" i="78"/>
  <c r="E44" i="78"/>
  <c r="D44" i="78"/>
  <c r="D43" i="78"/>
  <c r="E43" i="78"/>
  <c r="F42" i="78"/>
  <c r="F41" i="78"/>
  <c r="F40" i="78"/>
  <c r="F39" i="78"/>
  <c r="F38" i="78" s="1"/>
  <c r="F37" i="78" s="1"/>
  <c r="E38" i="78"/>
  <c r="E37" i="78" s="1"/>
  <c r="E29" i="78" s="1"/>
  <c r="D38" i="78"/>
  <c r="D37" i="78" s="1"/>
  <c r="D29" i="78" s="1"/>
  <c r="F36" i="78"/>
  <c r="F35" i="78"/>
  <c r="F32" i="78" s="1"/>
  <c r="F31" i="78" s="1"/>
  <c r="F30" i="78" s="1"/>
  <c r="F34" i="78"/>
  <c r="F33" i="78"/>
  <c r="E32" i="78"/>
  <c r="E31" i="78"/>
  <c r="E30" i="78"/>
  <c r="D32" i="78"/>
  <c r="D31" i="78"/>
  <c r="D30" i="78"/>
  <c r="F28" i="78"/>
  <c r="F27" i="78"/>
  <c r="F26" i="78"/>
  <c r="F25" i="78"/>
  <c r="F24" i="78"/>
  <c r="E24" i="78"/>
  <c r="D24" i="78"/>
  <c r="F23" i="78"/>
  <c r="F22" i="78"/>
  <c r="F21" i="78"/>
  <c r="F20" i="78"/>
  <c r="F19" i="78"/>
  <c r="E19" i="78"/>
  <c r="D19" i="78"/>
  <c r="F18" i="78"/>
  <c r="F17" i="78"/>
  <c r="E17" i="78"/>
  <c r="D17" i="78"/>
  <c r="F16" i="78"/>
  <c r="F15" i="78"/>
  <c r="E15" i="78"/>
  <c r="D15" i="78"/>
  <c r="F14" i="78"/>
  <c r="F13" i="78"/>
  <c r="E13" i="78"/>
  <c r="D13" i="78"/>
  <c r="F12" i="78"/>
  <c r="F11" i="78"/>
  <c r="E11" i="78"/>
  <c r="E10" i="78" s="1"/>
  <c r="E9" i="78" s="1"/>
  <c r="D11" i="78"/>
  <c r="D10" i="78"/>
  <c r="G9" i="78"/>
  <c r="H9" i="78" s="1"/>
  <c r="X23" i="69"/>
  <c r="G23" i="69"/>
  <c r="F23" i="69" s="1"/>
  <c r="T23" i="69"/>
  <c r="Q23" i="69"/>
  <c r="P23" i="69" s="1"/>
  <c r="M23" i="69"/>
  <c r="H23" i="69" s="1"/>
  <c r="AF23" i="69" s="1"/>
  <c r="J23" i="69"/>
  <c r="C23" i="69"/>
  <c r="X28" i="69"/>
  <c r="W28" i="69" s="1"/>
  <c r="T28" i="69"/>
  <c r="Q28" i="69"/>
  <c r="P28" i="69"/>
  <c r="M28" i="69"/>
  <c r="H28" i="69" s="1"/>
  <c r="J28" i="69"/>
  <c r="G28" i="69"/>
  <c r="F28" i="69" s="1"/>
  <c r="C28" i="69"/>
  <c r="X22" i="69"/>
  <c r="W22" i="69"/>
  <c r="X21" i="69"/>
  <c r="W21" i="69" s="1"/>
  <c r="X20" i="69"/>
  <c r="W20" i="69" s="1"/>
  <c r="X19" i="69"/>
  <c r="X13" i="69" s="1"/>
  <c r="X18" i="69"/>
  <c r="W18" i="69" s="1"/>
  <c r="AA17" i="69"/>
  <c r="X17" i="69"/>
  <c r="X16" i="69"/>
  <c r="W16" i="69"/>
  <c r="AA15" i="69"/>
  <c r="H15" i="69" s="1"/>
  <c r="X15" i="69"/>
  <c r="X14" i="69"/>
  <c r="AC13" i="69"/>
  <c r="Z13" i="69"/>
  <c r="Y13" i="69"/>
  <c r="C19" i="69"/>
  <c r="J19" i="69"/>
  <c r="I19" i="69"/>
  <c r="M19" i="69"/>
  <c r="Q19" i="69"/>
  <c r="P19" i="69"/>
  <c r="C20" i="69"/>
  <c r="J20" i="69"/>
  <c r="G20" i="69" s="1"/>
  <c r="M20" i="69"/>
  <c r="Q20" i="69"/>
  <c r="C21" i="69"/>
  <c r="J21" i="69"/>
  <c r="G21" i="69" s="1"/>
  <c r="M21" i="69"/>
  <c r="H21" i="69" s="1"/>
  <c r="AF21" i="69" s="1"/>
  <c r="Q21" i="69"/>
  <c r="P21" i="69"/>
  <c r="D46" i="62"/>
  <c r="D45" i="62"/>
  <c r="D43" i="62"/>
  <c r="D42" i="62"/>
  <c r="D29" i="62"/>
  <c r="D27" i="62"/>
  <c r="D25" i="62"/>
  <c r="N15" i="71"/>
  <c r="D15" i="71"/>
  <c r="O49" i="74" s="1"/>
  <c r="P11" i="71"/>
  <c r="D16" i="71"/>
  <c r="O50" i="74" s="1"/>
  <c r="N14" i="71"/>
  <c r="N41" i="74"/>
  <c r="J13" i="62"/>
  <c r="D38" i="58"/>
  <c r="E16" i="76"/>
  <c r="G15" i="75"/>
  <c r="K15" i="75"/>
  <c r="L15" i="75"/>
  <c r="G16" i="75"/>
  <c r="K16" i="75"/>
  <c r="L16" i="75"/>
  <c r="G17" i="75"/>
  <c r="K17" i="75"/>
  <c r="L17" i="75"/>
  <c r="G18" i="75"/>
  <c r="K18" i="75"/>
  <c r="L18" i="75"/>
  <c r="G19" i="75"/>
  <c r="K19" i="75"/>
  <c r="L19" i="75"/>
  <c r="G20" i="75"/>
  <c r="K20" i="75"/>
  <c r="L20" i="75"/>
  <c r="G21" i="75"/>
  <c r="K21" i="75"/>
  <c r="L21" i="75"/>
  <c r="G22" i="75"/>
  <c r="K22" i="75"/>
  <c r="L22" i="75"/>
  <c r="G23" i="75"/>
  <c r="K23" i="75"/>
  <c r="L23" i="75"/>
  <c r="G24" i="75"/>
  <c r="K24" i="75"/>
  <c r="L24" i="75"/>
  <c r="G25" i="75"/>
  <c r="K25" i="75"/>
  <c r="L25" i="75"/>
  <c r="G26" i="75"/>
  <c r="K26" i="75"/>
  <c r="L26" i="75"/>
  <c r="G27" i="75"/>
  <c r="K27" i="75"/>
  <c r="L27" i="75"/>
  <c r="G28" i="75"/>
  <c r="K28" i="75"/>
  <c r="L28" i="75"/>
  <c r="L13" i="69"/>
  <c r="O13" i="69"/>
  <c r="R13" i="69"/>
  <c r="S13" i="69"/>
  <c r="V13" i="69"/>
  <c r="C14" i="69"/>
  <c r="C13" i="69" s="1"/>
  <c r="J14" i="69"/>
  <c r="J13" i="69" s="1"/>
  <c r="M14" i="69"/>
  <c r="Q14" i="69"/>
  <c r="C15" i="69"/>
  <c r="N13" i="69"/>
  <c r="Q15" i="69"/>
  <c r="T15" i="69"/>
  <c r="P15" i="69"/>
  <c r="C16" i="69"/>
  <c r="M16" i="69"/>
  <c r="Q16" i="69"/>
  <c r="P16" i="69" s="1"/>
  <c r="T16" i="69"/>
  <c r="C17" i="69"/>
  <c r="J17" i="69"/>
  <c r="I17" i="69" s="1"/>
  <c r="M17" i="69"/>
  <c r="H17" i="69" s="1"/>
  <c r="Q17" i="69"/>
  <c r="T17" i="69"/>
  <c r="C18" i="69"/>
  <c r="M18" i="69"/>
  <c r="H18" i="69" s="1"/>
  <c r="Q18" i="69"/>
  <c r="M22" i="69"/>
  <c r="H22" i="69" s="1"/>
  <c r="AF22" i="69" s="1"/>
  <c r="Q22" i="69"/>
  <c r="P22" i="69" s="1"/>
  <c r="D14" i="66"/>
  <c r="E14" i="66" s="1"/>
  <c r="F14" i="66" s="1"/>
  <c r="G14" i="66" s="1"/>
  <c r="H14" i="66" s="1"/>
  <c r="F15" i="66"/>
  <c r="G15" i="66"/>
  <c r="H15" i="66"/>
  <c r="A17" i="66"/>
  <c r="A18" i="66" s="1"/>
  <c r="D16" i="36"/>
  <c r="E16" i="36"/>
  <c r="F16" i="36"/>
  <c r="I16" i="36"/>
  <c r="J16" i="36"/>
  <c r="C17" i="36"/>
  <c r="G17" i="36"/>
  <c r="E16" i="66" s="1"/>
  <c r="C18" i="36"/>
  <c r="G18" i="36"/>
  <c r="K18" i="36" s="1"/>
  <c r="E17" i="66"/>
  <c r="C17" i="66" s="1"/>
  <c r="C19" i="36"/>
  <c r="C16" i="36" s="1"/>
  <c r="K16" i="36" s="1"/>
  <c r="G19" i="36"/>
  <c r="K19" i="36" s="1"/>
  <c r="I13" i="62"/>
  <c r="O13" i="62"/>
  <c r="B49" i="62"/>
  <c r="D57" i="62"/>
  <c r="F11" i="71"/>
  <c r="G11" i="71"/>
  <c r="H11" i="71"/>
  <c r="I11" i="71"/>
  <c r="J11" i="71"/>
  <c r="K11" i="71"/>
  <c r="L11" i="71"/>
  <c r="M11" i="71"/>
  <c r="Q11" i="71"/>
  <c r="R11" i="71"/>
  <c r="S11" i="71"/>
  <c r="C12" i="71"/>
  <c r="T12" i="71" s="1"/>
  <c r="T11" i="71" s="1"/>
  <c r="D13" i="71"/>
  <c r="C14" i="71"/>
  <c r="C16" i="71"/>
  <c r="N18" i="71"/>
  <c r="L16" i="74"/>
  <c r="L15" i="74" s="1"/>
  <c r="M16" i="74"/>
  <c r="M15" i="74"/>
  <c r="Q16" i="74"/>
  <c r="F17" i="74"/>
  <c r="N17" i="74"/>
  <c r="I17" i="74" s="1"/>
  <c r="R17" i="74" s="1"/>
  <c r="F18" i="74"/>
  <c r="N18" i="74"/>
  <c r="I18" i="74"/>
  <c r="R18" i="74" s="1"/>
  <c r="F19" i="74"/>
  <c r="N19" i="74"/>
  <c r="F20" i="74"/>
  <c r="U20" i="74"/>
  <c r="N21" i="74"/>
  <c r="I21" i="74"/>
  <c r="R21" i="74" s="1"/>
  <c r="U21" i="74"/>
  <c r="N22" i="74"/>
  <c r="U22" i="74"/>
  <c r="F23" i="74"/>
  <c r="N23" i="74"/>
  <c r="I23" i="74" s="1"/>
  <c r="R23" i="74" s="1"/>
  <c r="U23" i="74"/>
  <c r="U24" i="74"/>
  <c r="F25" i="74"/>
  <c r="N25" i="74"/>
  <c r="U25" i="74"/>
  <c r="F26" i="74"/>
  <c r="N26" i="74"/>
  <c r="F27" i="74"/>
  <c r="N27" i="74"/>
  <c r="I27" i="74" s="1"/>
  <c r="R27" i="74" s="1"/>
  <c r="F28" i="74"/>
  <c r="N28" i="74"/>
  <c r="I28" i="74" s="1"/>
  <c r="R28" i="74" s="1"/>
  <c r="U28" i="74"/>
  <c r="F29" i="74"/>
  <c r="N29" i="74"/>
  <c r="I29" i="74"/>
  <c r="R29" i="74" s="1"/>
  <c r="F30" i="74"/>
  <c r="U30" i="74"/>
  <c r="F31" i="74"/>
  <c r="N31" i="74"/>
  <c r="I31" i="74"/>
  <c r="N32" i="74"/>
  <c r="I32" i="74"/>
  <c r="R32" i="74" s="1"/>
  <c r="N33" i="74"/>
  <c r="I33" i="74"/>
  <c r="R33" i="74" s="1"/>
  <c r="F34" i="74"/>
  <c r="N34" i="74"/>
  <c r="F35" i="74"/>
  <c r="N35" i="74"/>
  <c r="I35" i="74" s="1"/>
  <c r="R35" i="74" s="1"/>
  <c r="F36" i="74"/>
  <c r="N36" i="74"/>
  <c r="I36" i="74"/>
  <c r="R36" i="74" s="1"/>
  <c r="U36" i="74"/>
  <c r="V36" i="74"/>
  <c r="F37" i="74"/>
  <c r="I37" i="74"/>
  <c r="R37" i="74" s="1"/>
  <c r="N37" i="74"/>
  <c r="F38" i="74"/>
  <c r="I38" i="74"/>
  <c r="R38" i="74" s="1"/>
  <c r="N38" i="74"/>
  <c r="F39" i="74"/>
  <c r="I39" i="74"/>
  <c r="R39" i="74" s="1"/>
  <c r="N39" i="74"/>
  <c r="U40" i="74"/>
  <c r="F41" i="74"/>
  <c r="F45" i="74"/>
  <c r="N45" i="74"/>
  <c r="I45" i="74"/>
  <c r="R45" i="74"/>
  <c r="F46" i="74"/>
  <c r="N46" i="74"/>
  <c r="I46" i="74" s="1"/>
  <c r="R46" i="74" s="1"/>
  <c r="F47" i="74"/>
  <c r="N47" i="74"/>
  <c r="I47" i="74" s="1"/>
  <c r="R47" i="74" s="1"/>
  <c r="F48" i="74"/>
  <c r="I48" i="74"/>
  <c r="N48" i="74"/>
  <c r="F49" i="74"/>
  <c r="F50" i="74"/>
  <c r="F51" i="74"/>
  <c r="C17" i="71" s="1"/>
  <c r="F52" i="74"/>
  <c r="I52" i="74"/>
  <c r="R52" i="74" s="1"/>
  <c r="F53" i="74"/>
  <c r="I53" i="74"/>
  <c r="F54" i="74"/>
  <c r="I54" i="74"/>
  <c r="I55" i="74"/>
  <c r="R55" i="74" s="1"/>
  <c r="F56" i="74"/>
  <c r="N56" i="74"/>
  <c r="I56" i="74" s="1"/>
  <c r="U56" i="74"/>
  <c r="F57" i="74"/>
  <c r="I57" i="74"/>
  <c r="R57" i="74"/>
  <c r="F60" i="74"/>
  <c r="I60" i="74"/>
  <c r="U60" i="74"/>
  <c r="F61" i="74"/>
  <c r="C61" i="74"/>
  <c r="R61" i="74"/>
  <c r="I61" i="74"/>
  <c r="C62" i="74"/>
  <c r="R62" i="74" s="1"/>
  <c r="F62" i="74"/>
  <c r="I62" i="74"/>
  <c r="F63" i="74"/>
  <c r="C63" i="74" s="1"/>
  <c r="C64" i="74"/>
  <c r="F64" i="74"/>
  <c r="F65" i="74"/>
  <c r="A7" i="74"/>
  <c r="A5" i="71" s="1"/>
  <c r="A7" i="62" s="1"/>
  <c r="A6" i="36"/>
  <c r="A6" i="66" s="1"/>
  <c r="A5" i="69" s="1"/>
  <c r="C13" i="76"/>
  <c r="D13" i="76"/>
  <c r="D12" i="76" s="1"/>
  <c r="F13" i="76"/>
  <c r="F12" i="76" s="1"/>
  <c r="F11" i="76" s="1"/>
  <c r="G13" i="76"/>
  <c r="G12" i="76" s="1"/>
  <c r="H13" i="76"/>
  <c r="I13" i="76"/>
  <c r="I12" i="76" s="1"/>
  <c r="I11" i="76" s="1"/>
  <c r="E14" i="76"/>
  <c r="E13" i="76" s="1"/>
  <c r="E15" i="76"/>
  <c r="L15" i="76"/>
  <c r="E17" i="76"/>
  <c r="E18" i="76"/>
  <c r="E19" i="76"/>
  <c r="E20" i="76"/>
  <c r="C21" i="76"/>
  <c r="C12" i="76" s="1"/>
  <c r="C11" i="76" s="1"/>
  <c r="D21" i="76"/>
  <c r="F21" i="76"/>
  <c r="G21" i="76"/>
  <c r="H21" i="76"/>
  <c r="E21" i="76" s="1"/>
  <c r="I21" i="76"/>
  <c r="E22" i="76"/>
  <c r="L22" i="76" s="1"/>
  <c r="E23" i="76"/>
  <c r="J23" i="76" s="1"/>
  <c r="K23" i="76"/>
  <c r="E24" i="76"/>
  <c r="E25" i="76"/>
  <c r="E26" i="76"/>
  <c r="F27" i="76"/>
  <c r="G27" i="76"/>
  <c r="H27" i="76"/>
  <c r="I27" i="76"/>
  <c r="E28" i="76"/>
  <c r="E27" i="76" s="1"/>
  <c r="E29" i="76"/>
  <c r="E30" i="76"/>
  <c r="E31" i="76"/>
  <c r="E32" i="76"/>
  <c r="E33" i="76"/>
  <c r="E34" i="76"/>
  <c r="E35" i="76"/>
  <c r="E36" i="76"/>
  <c r="E37" i="76"/>
  <c r="E38" i="76"/>
  <c r="C39" i="76"/>
  <c r="F39" i="76"/>
  <c r="G39" i="76"/>
  <c r="H39" i="76"/>
  <c r="I39" i="76"/>
  <c r="E40" i="76"/>
  <c r="K40" i="76" s="1"/>
  <c r="E41" i="76"/>
  <c r="E42" i="76"/>
  <c r="E43" i="76"/>
  <c r="E44" i="76"/>
  <c r="K44" i="76" s="1"/>
  <c r="J44" i="76"/>
  <c r="D45" i="76"/>
  <c r="D39" i="76" s="1"/>
  <c r="E45" i="76"/>
  <c r="E46" i="76"/>
  <c r="K46" i="76" s="1"/>
  <c r="E47" i="76"/>
  <c r="E48" i="76"/>
  <c r="E49" i="76"/>
  <c r="E50" i="76"/>
  <c r="E51" i="76"/>
  <c r="E52" i="76"/>
  <c r="E53" i="76"/>
  <c r="J53" i="76" s="1"/>
  <c r="E54" i="76"/>
  <c r="E55" i="76"/>
  <c r="J55" i="76"/>
  <c r="K55" i="76"/>
  <c r="L55" i="76"/>
  <c r="E56" i="76"/>
  <c r="J56" i="76" s="1"/>
  <c r="C57" i="76"/>
  <c r="D57" i="76"/>
  <c r="E57" i="76"/>
  <c r="K57" i="76" s="1"/>
  <c r="E58" i="76"/>
  <c r="E59" i="76"/>
  <c r="E60" i="76"/>
  <c r="J60" i="76" s="1"/>
  <c r="E61" i="76"/>
  <c r="E62" i="76"/>
  <c r="E63" i="76"/>
  <c r="E64" i="76"/>
  <c r="E65" i="76"/>
  <c r="E66" i="76"/>
  <c r="E67" i="76"/>
  <c r="E68" i="76"/>
  <c r="E69" i="76"/>
  <c r="E70" i="76"/>
  <c r="E71" i="76"/>
  <c r="E72" i="76"/>
  <c r="J72" i="76" s="1"/>
  <c r="C73" i="76"/>
  <c r="D73" i="76"/>
  <c r="F73" i="76"/>
  <c r="G73" i="76"/>
  <c r="H73" i="76"/>
  <c r="I73" i="76"/>
  <c r="E74" i="76"/>
  <c r="E75" i="76"/>
  <c r="E76" i="76"/>
  <c r="E77" i="76"/>
  <c r="E78" i="76"/>
  <c r="E79" i="76"/>
  <c r="E80" i="76"/>
  <c r="E81" i="76"/>
  <c r="E82" i="76"/>
  <c r="E83" i="76"/>
  <c r="E84" i="76"/>
  <c r="E85" i="76"/>
  <c r="E86" i="76"/>
  <c r="E87" i="76"/>
  <c r="E88" i="76"/>
  <c r="E89" i="76"/>
  <c r="E90" i="76"/>
  <c r="E91" i="76"/>
  <c r="E92" i="76"/>
  <c r="E93" i="76"/>
  <c r="E94" i="76"/>
  <c r="E95" i="76"/>
  <c r="E96" i="76"/>
  <c r="E97" i="76"/>
  <c r="E98" i="76"/>
  <c r="E99" i="76"/>
  <c r="E100" i="76"/>
  <c r="E101" i="76"/>
  <c r="E102" i="76"/>
  <c r="E103" i="76"/>
  <c r="E104" i="76"/>
  <c r="E105" i="76"/>
  <c r="E106" i="76"/>
  <c r="E107" i="76"/>
  <c r="E108" i="76"/>
  <c r="E109" i="76"/>
  <c r="E110" i="76"/>
  <c r="E111" i="76"/>
  <c r="E112" i="76"/>
  <c r="E113" i="76"/>
  <c r="E114" i="76"/>
  <c r="E115" i="76"/>
  <c r="E116" i="76"/>
  <c r="I117" i="76"/>
  <c r="F118" i="76"/>
  <c r="G118" i="76"/>
  <c r="G117" i="76" s="1"/>
  <c r="H118" i="76"/>
  <c r="H117" i="76" s="1"/>
  <c r="I118" i="76"/>
  <c r="E119" i="76"/>
  <c r="J119" i="76" s="1"/>
  <c r="C120" i="76"/>
  <c r="C118" i="76" s="1"/>
  <c r="C117" i="76" s="1"/>
  <c r="D120" i="76"/>
  <c r="K120" i="76" s="1"/>
  <c r="E120" i="76"/>
  <c r="J120" i="76" s="1"/>
  <c r="E121" i="76"/>
  <c r="J121" i="76" s="1"/>
  <c r="E122" i="76"/>
  <c r="E123" i="76"/>
  <c r="E124" i="76"/>
  <c r="E125" i="76"/>
  <c r="E126" i="76"/>
  <c r="A6" i="58"/>
  <c r="A7" i="58"/>
  <c r="A4" i="79" s="1"/>
  <c r="A4" i="81" s="1"/>
  <c r="A4" i="82" s="1"/>
  <c r="A5" i="83" s="1"/>
  <c r="A5" i="74" s="1"/>
  <c r="A8" i="58"/>
  <c r="A6" i="74"/>
  <c r="A4" i="71" s="1"/>
  <c r="A6" i="62" s="1"/>
  <c r="A5" i="36"/>
  <c r="A5" i="66" s="1"/>
  <c r="A4" i="69" s="1"/>
  <c r="F13" i="58"/>
  <c r="F14" i="58"/>
  <c r="C20" i="58"/>
  <c r="D20" i="58" s="1"/>
  <c r="D25" i="58"/>
  <c r="D41" i="58"/>
  <c r="F9" i="57"/>
  <c r="C13" i="57"/>
  <c r="C9" i="57" s="1"/>
  <c r="D13" i="57"/>
  <c r="E25" i="57"/>
  <c r="E13" i="69"/>
  <c r="E11" i="57"/>
  <c r="N17" i="71"/>
  <c r="D17" i="71"/>
  <c r="O51" i="74" s="1"/>
  <c r="N51" i="74" s="1"/>
  <c r="I51" i="74" s="1"/>
  <c r="O11" i="71"/>
  <c r="I34" i="74"/>
  <c r="R34" i="74"/>
  <c r="I26" i="74"/>
  <c r="R26" i="74" s="1"/>
  <c r="D13" i="69"/>
  <c r="C22" i="69"/>
  <c r="H9" i="74"/>
  <c r="I9" i="74" s="1"/>
  <c r="E16" i="74"/>
  <c r="E15" i="74"/>
  <c r="I22" i="69"/>
  <c r="K13" i="69"/>
  <c r="T14" i="69"/>
  <c r="H14" i="69" s="1"/>
  <c r="T13" i="69"/>
  <c r="M15" i="69"/>
  <c r="W17" i="69"/>
  <c r="I20" i="69"/>
  <c r="J16" i="69"/>
  <c r="G16" i="69"/>
  <c r="AE16" i="69" s="1"/>
  <c r="D15" i="66"/>
  <c r="H16" i="36"/>
  <c r="K119" i="76"/>
  <c r="J75" i="76"/>
  <c r="K75" i="76"/>
  <c r="J71" i="76"/>
  <c r="K71" i="76"/>
  <c r="J26" i="76"/>
  <c r="K26" i="76"/>
  <c r="K121" i="76"/>
  <c r="F117" i="76"/>
  <c r="E73" i="76"/>
  <c r="K73" i="76" s="1"/>
  <c r="J59" i="76"/>
  <c r="K59" i="76"/>
  <c r="J49" i="76"/>
  <c r="K49" i="76"/>
  <c r="J22" i="76"/>
  <c r="I14" i="69"/>
  <c r="F10" i="78"/>
  <c r="L23" i="76"/>
  <c r="I25" i="74"/>
  <c r="R25" i="74" s="1"/>
  <c r="E63" i="78"/>
  <c r="E62" i="78"/>
  <c r="F67" i="78"/>
  <c r="E98" i="78"/>
  <c r="E11" i="71"/>
  <c r="F126" i="78"/>
  <c r="D35" i="58"/>
  <c r="D34" i="58" s="1"/>
  <c r="P18" i="69"/>
  <c r="H20" i="69"/>
  <c r="AF20" i="69" s="1"/>
  <c r="C35" i="81"/>
  <c r="AB11" i="79"/>
  <c r="K50" i="79"/>
  <c r="J50" i="79"/>
  <c r="L21" i="79"/>
  <c r="K20" i="79"/>
  <c r="K21" i="79"/>
  <c r="K42" i="79"/>
  <c r="K57" i="79"/>
  <c r="J68" i="79"/>
  <c r="K116" i="79"/>
  <c r="K118" i="79"/>
  <c r="L20" i="79"/>
  <c r="D14" i="58"/>
  <c r="D13" i="58" s="1"/>
  <c r="E39" i="58"/>
  <c r="C38" i="58"/>
  <c r="K10" i="79"/>
  <c r="J10" i="79"/>
  <c r="J117" i="79"/>
  <c r="K117" i="79"/>
  <c r="K37" i="79"/>
  <c r="J37" i="79"/>
  <c r="J19" i="79"/>
  <c r="K19" i="79"/>
  <c r="J115" i="79"/>
  <c r="K115" i="79"/>
  <c r="D17" i="58"/>
  <c r="J114" i="79"/>
  <c r="K114" i="79"/>
  <c r="K9" i="79"/>
  <c r="J9" i="79"/>
  <c r="D47" i="62"/>
  <c r="C22" i="57"/>
  <c r="C29" i="57"/>
  <c r="D28" i="62"/>
  <c r="Q28" i="62" s="1"/>
  <c r="D49" i="62"/>
  <c r="Q49" i="62" s="1"/>
  <c r="G16" i="36"/>
  <c r="H34" i="83"/>
  <c r="I19" i="74"/>
  <c r="R19" i="74" s="1"/>
  <c r="I42" i="74"/>
  <c r="R42" i="74" s="1"/>
  <c r="M13" i="62"/>
  <c r="S19" i="62" s="1"/>
  <c r="P18" i="62"/>
  <c r="D18" i="62" s="1"/>
  <c r="Q18" i="62" s="1"/>
  <c r="P40" i="62"/>
  <c r="D40" i="62" s="1"/>
  <c r="Q40" i="62" s="1"/>
  <c r="V33" i="74"/>
  <c r="P16" i="74"/>
  <c r="E50" i="83" s="1"/>
  <c r="H13" i="62"/>
  <c r="P17" i="62"/>
  <c r="E13" i="62"/>
  <c r="I41" i="74"/>
  <c r="R41" i="74"/>
  <c r="P38" i="62"/>
  <c r="D38" i="62" s="1"/>
  <c r="Q38" i="62" s="1"/>
  <c r="P21" i="62"/>
  <c r="D21" i="62" s="1"/>
  <c r="I24" i="74"/>
  <c r="R24" i="74" s="1"/>
  <c r="I22" i="74"/>
  <c r="P19" i="62" s="1"/>
  <c r="D19" i="62" s="1"/>
  <c r="U27" i="74"/>
  <c r="K16" i="74"/>
  <c r="K15" i="74"/>
  <c r="I40" i="74"/>
  <c r="R40" i="74" s="1"/>
  <c r="P37" i="62"/>
  <c r="D37" i="62" s="1"/>
  <c r="N13" i="62"/>
  <c r="L13" i="62"/>
  <c r="S15" i="62" s="1"/>
  <c r="D26" i="62"/>
  <c r="Q26" i="62" s="1"/>
  <c r="L40" i="82"/>
  <c r="L41" i="82" s="1"/>
  <c r="I30" i="82"/>
  <c r="F10" i="82"/>
  <c r="F9" i="82"/>
  <c r="F52" i="82" s="1"/>
  <c r="K39" i="82"/>
  <c r="I31" i="82"/>
  <c r="K16" i="82"/>
  <c r="C25" i="58"/>
  <c r="E25" i="58" s="1"/>
  <c r="E27" i="58"/>
  <c r="E16" i="58"/>
  <c r="C21" i="57"/>
  <c r="P20" i="69"/>
  <c r="H19" i="69"/>
  <c r="H16" i="69"/>
  <c r="AF16" i="69" s="1"/>
  <c r="F16" i="69"/>
  <c r="P17" i="69"/>
  <c r="W14" i="69"/>
  <c r="G14" i="69"/>
  <c r="AD14" i="69" s="1"/>
  <c r="W23" i="69"/>
  <c r="G15" i="69"/>
  <c r="G18" i="69"/>
  <c r="AE18" i="69" s="1"/>
  <c r="G17" i="69"/>
  <c r="AD17" i="69" s="1"/>
  <c r="I28" i="69"/>
  <c r="I18" i="69"/>
  <c r="I21" i="69"/>
  <c r="I23" i="69"/>
  <c r="I16" i="69"/>
  <c r="L18" i="83"/>
  <c r="C41" i="83"/>
  <c r="C40" i="83"/>
  <c r="I40" i="83" s="1"/>
  <c r="N11" i="71"/>
  <c r="D14" i="71"/>
  <c r="D11" i="71" s="1"/>
  <c r="D10" i="57"/>
  <c r="E10" i="57" s="1"/>
  <c r="E12" i="57"/>
  <c r="P14" i="69"/>
  <c r="P25" i="69"/>
  <c r="H25" i="69"/>
  <c r="AF25" i="69" s="1"/>
  <c r="H26" i="69"/>
  <c r="AF26" i="69" s="1"/>
  <c r="F26" i="69"/>
  <c r="Q13" i="69"/>
  <c r="P24" i="69"/>
  <c r="I15" i="69"/>
  <c r="E35" i="81"/>
  <c r="C11" i="81"/>
  <c r="C10" i="81" s="1"/>
  <c r="C30" i="81"/>
  <c r="D31" i="81"/>
  <c r="D30" i="57" s="1"/>
  <c r="D29" i="57" s="1"/>
  <c r="E29" i="57" s="1"/>
  <c r="E38" i="58"/>
  <c r="AA13" i="69"/>
  <c r="H24" i="69"/>
  <c r="AF24" i="69" s="1"/>
  <c r="W19" i="69"/>
  <c r="J40" i="83"/>
  <c r="D30" i="81"/>
  <c r="E30" i="81"/>
  <c r="U18" i="74"/>
  <c r="U19" i="74" s="1"/>
  <c r="D15" i="74"/>
  <c r="C16" i="74"/>
  <c r="C15" i="74" s="1"/>
  <c r="I29" i="83"/>
  <c r="H45" i="83"/>
  <c r="H48" i="83" s="1"/>
  <c r="I36" i="83"/>
  <c r="K34" i="83"/>
  <c r="D34" i="83"/>
  <c r="D14" i="83"/>
  <c r="C14" i="83" s="1"/>
  <c r="K35" i="83"/>
  <c r="C35" i="83"/>
  <c r="E14" i="83"/>
  <c r="C15" i="83"/>
  <c r="G39" i="83"/>
  <c r="C67" i="74"/>
  <c r="C68" i="74"/>
  <c r="J39" i="83"/>
  <c r="K17" i="36"/>
  <c r="J19" i="84"/>
  <c r="H27" i="69"/>
  <c r="AF27" i="69" s="1"/>
  <c r="Q15" i="74"/>
  <c r="E13" i="57" l="1"/>
  <c r="C17" i="58"/>
  <c r="E17" i="58" s="1"/>
  <c r="K21" i="76"/>
  <c r="J21" i="76"/>
  <c r="E117" i="76"/>
  <c r="T33" i="74"/>
  <c r="C30" i="62"/>
  <c r="F33" i="74"/>
  <c r="U14" i="74"/>
  <c r="V14" i="74" s="1"/>
  <c r="F9" i="74"/>
  <c r="G9" i="74" s="1"/>
  <c r="D9" i="74"/>
  <c r="D55" i="62"/>
  <c r="G13" i="62"/>
  <c r="H15" i="83"/>
  <c r="K26" i="83"/>
  <c r="D30" i="62"/>
  <c r="Q30" i="62" s="1"/>
  <c r="R31" i="62"/>
  <c r="F21" i="69"/>
  <c r="AD21" i="69"/>
  <c r="F49" i="78"/>
  <c r="F29" i="78" s="1"/>
  <c r="F9" i="78" s="1"/>
  <c r="F37" i="83"/>
  <c r="J37" i="83"/>
  <c r="C20" i="84"/>
  <c r="C19" i="84" s="1"/>
  <c r="G19" i="84"/>
  <c r="N50" i="74"/>
  <c r="I50" i="74" s="1"/>
  <c r="P9" i="74"/>
  <c r="S50" i="74"/>
  <c r="K4" i="82"/>
  <c r="K6" i="82"/>
  <c r="G52" i="82"/>
  <c r="K7" i="82" s="1"/>
  <c r="K8" i="82" s="1"/>
  <c r="K10" i="82" s="1"/>
  <c r="H28" i="82"/>
  <c r="D22" i="81"/>
  <c r="I28" i="82"/>
  <c r="AD25" i="69"/>
  <c r="F25" i="69"/>
  <c r="T24" i="74"/>
  <c r="C21" i="62"/>
  <c r="F24" i="74"/>
  <c r="I13" i="69"/>
  <c r="AF14" i="69"/>
  <c r="F14" i="69"/>
  <c r="H13" i="69"/>
  <c r="AF13" i="69" s="1"/>
  <c r="G11" i="76"/>
  <c r="L7" i="76" s="1"/>
  <c r="C16" i="66"/>
  <c r="C15" i="66" s="1"/>
  <c r="D84" i="78"/>
  <c r="E10" i="82"/>
  <c r="H11" i="82"/>
  <c r="I11" i="82"/>
  <c r="D13" i="81"/>
  <c r="K26" i="82"/>
  <c r="T22" i="74"/>
  <c r="C19" i="62"/>
  <c r="Q19" i="62" s="1"/>
  <c r="H16" i="74"/>
  <c r="T16" i="74" s="1"/>
  <c r="F22" i="74"/>
  <c r="AF15" i="69"/>
  <c r="F15" i="69"/>
  <c r="AF18" i="69"/>
  <c r="F18" i="69"/>
  <c r="W22" i="84"/>
  <c r="P13" i="69"/>
  <c r="N49" i="74"/>
  <c r="I49" i="74" s="1"/>
  <c r="S49" i="74"/>
  <c r="F20" i="69"/>
  <c r="AD20" i="69"/>
  <c r="O20" i="74"/>
  <c r="F13" i="62"/>
  <c r="D56" i="62"/>
  <c r="T40" i="74"/>
  <c r="F40" i="74"/>
  <c r="C37" i="62"/>
  <c r="Q37" i="62" s="1"/>
  <c r="D9" i="78"/>
  <c r="AD51" i="82"/>
  <c r="K52" i="82"/>
  <c r="D11" i="76"/>
  <c r="W21" i="84"/>
  <c r="AF17" i="69"/>
  <c r="D52" i="82"/>
  <c r="Q21" i="62"/>
  <c r="J73" i="76"/>
  <c r="D118" i="76"/>
  <c r="D117" i="76" s="1"/>
  <c r="J57" i="76"/>
  <c r="J40" i="76"/>
  <c r="K72" i="76"/>
  <c r="J46" i="76"/>
  <c r="E18" i="66"/>
  <c r="C18" i="66" s="1"/>
  <c r="G22" i="69"/>
  <c r="R22" i="74"/>
  <c r="G38" i="83"/>
  <c r="W20" i="84"/>
  <c r="AD16" i="69"/>
  <c r="P15" i="74"/>
  <c r="G19" i="69"/>
  <c r="L56" i="76"/>
  <c r="E39" i="76"/>
  <c r="E12" i="76" s="1"/>
  <c r="L14" i="76"/>
  <c r="I25" i="69"/>
  <c r="AD23" i="69"/>
  <c r="AD15" i="69"/>
  <c r="AE17" i="69"/>
  <c r="AD29" i="82"/>
  <c r="H29" i="81"/>
  <c r="H33" i="81" s="1"/>
  <c r="H34" i="81" s="1"/>
  <c r="H36" i="81" s="1"/>
  <c r="D24" i="81"/>
  <c r="T27" i="74"/>
  <c r="U16" i="74"/>
  <c r="E31" i="81"/>
  <c r="D9" i="57"/>
  <c r="E9" i="57" s="1"/>
  <c r="W15" i="69"/>
  <c r="W13" i="69" s="1"/>
  <c r="E118" i="76"/>
  <c r="Q43" i="62"/>
  <c r="K43" i="82"/>
  <c r="K44" i="82" s="1"/>
  <c r="G27" i="69"/>
  <c r="F17" i="69"/>
  <c r="Q42" i="62"/>
  <c r="G24" i="69"/>
  <c r="M13" i="69"/>
  <c r="H12" i="76"/>
  <c r="H11" i="76" s="1"/>
  <c r="K60" i="76"/>
  <c r="K56" i="76"/>
  <c r="K53" i="76"/>
  <c r="K22" i="76"/>
  <c r="Q41" i="62"/>
  <c r="Q25" i="62"/>
  <c r="AD18" i="69"/>
  <c r="P13" i="62"/>
  <c r="S13" i="62" s="1"/>
  <c r="T20" i="74"/>
  <c r="T41" i="74"/>
  <c r="J41" i="83"/>
  <c r="Q23" i="62"/>
  <c r="Q35" i="62"/>
  <c r="Q39" i="62"/>
  <c r="E15" i="81"/>
  <c r="Q36" i="62"/>
  <c r="C39" i="83"/>
  <c r="C34" i="83" s="1"/>
  <c r="S16" i="62"/>
  <c r="Q22" i="62"/>
  <c r="Q31" i="62"/>
  <c r="Q20" i="62"/>
  <c r="G16" i="74"/>
  <c r="G15" i="74" s="1"/>
  <c r="S51" i="74"/>
  <c r="Q34" i="62"/>
  <c r="Q24" i="62"/>
  <c r="A4" i="36"/>
  <c r="A4" i="66" s="1"/>
  <c r="A3" i="71"/>
  <c r="A5" i="62" s="1"/>
  <c r="A4" i="84" s="1"/>
  <c r="Q16" i="62"/>
  <c r="C36" i="58"/>
  <c r="C14" i="58"/>
  <c r="E15" i="58"/>
  <c r="G26" i="83"/>
  <c r="T21" i="74"/>
  <c r="E30" i="57"/>
  <c r="F21" i="74"/>
  <c r="F41" i="83"/>
  <c r="C29" i="62"/>
  <c r="Q29" i="62" s="1"/>
  <c r="W19" i="84"/>
  <c r="T55" i="74"/>
  <c r="F32" i="74"/>
  <c r="C15" i="71"/>
  <c r="C11" i="71" s="1"/>
  <c r="D17" i="62"/>
  <c r="Q17" i="62" s="1"/>
  <c r="A4" i="76"/>
  <c r="E11" i="76" l="1"/>
  <c r="J12" i="76"/>
  <c r="K12" i="76"/>
  <c r="G28" i="83"/>
  <c r="E24" i="81"/>
  <c r="AD22" i="69"/>
  <c r="F22" i="69"/>
  <c r="F13" i="69" s="1"/>
  <c r="J117" i="76"/>
  <c r="K117" i="76"/>
  <c r="S24" i="62"/>
  <c r="K118" i="76"/>
  <c r="J118" i="76"/>
  <c r="O30" i="74"/>
  <c r="AE19" i="69"/>
  <c r="AD19" i="69"/>
  <c r="F19" i="69"/>
  <c r="E9" i="82"/>
  <c r="H10" i="82"/>
  <c r="I10" i="82"/>
  <c r="D24" i="57"/>
  <c r="E24" i="57" s="1"/>
  <c r="E22" i="81"/>
  <c r="R13" i="62"/>
  <c r="R14" i="62" s="1"/>
  <c r="U15" i="74"/>
  <c r="G49" i="83"/>
  <c r="O9" i="74"/>
  <c r="Q9" i="74" s="1"/>
  <c r="U12" i="74"/>
  <c r="U13" i="74" s="1"/>
  <c r="G13" i="69"/>
  <c r="AD24" i="69"/>
  <c r="F24" i="69"/>
  <c r="R21" i="84"/>
  <c r="U21" i="84"/>
  <c r="E15" i="66"/>
  <c r="J39" i="76"/>
  <c r="K39" i="76"/>
  <c r="R20" i="84"/>
  <c r="U20" i="84"/>
  <c r="R22" i="84"/>
  <c r="U22" i="84"/>
  <c r="D13" i="62"/>
  <c r="D58" i="62" s="1"/>
  <c r="J38" i="83"/>
  <c r="F38" i="83"/>
  <c r="I38" i="83" s="1"/>
  <c r="F35" i="83"/>
  <c r="I35" i="83" s="1"/>
  <c r="I37" i="83"/>
  <c r="H15" i="74"/>
  <c r="T15" i="74" s="1"/>
  <c r="AD27" i="69"/>
  <c r="F27" i="69"/>
  <c r="N20" i="74"/>
  <c r="O16" i="74"/>
  <c r="O15" i="74" s="1"/>
  <c r="G17" i="83"/>
  <c r="D12" i="81"/>
  <c r="D23" i="57"/>
  <c r="E13" i="81"/>
  <c r="G35" i="83"/>
  <c r="H14" i="83"/>
  <c r="K14" i="83" s="1"/>
  <c r="K15" i="83"/>
  <c r="F39" i="83"/>
  <c r="I41" i="83"/>
  <c r="E36" i="58"/>
  <c r="C35" i="58"/>
  <c r="C13" i="58"/>
  <c r="E14" i="58"/>
  <c r="A4" i="75"/>
  <c r="A3" i="69"/>
  <c r="F26" i="83"/>
  <c r="I26" i="83" s="1"/>
  <c r="J26" i="83"/>
  <c r="F16" i="74"/>
  <c r="F15" i="74" s="1"/>
  <c r="J9" i="74" s="1"/>
  <c r="C13" i="62"/>
  <c r="E12" i="81" l="1"/>
  <c r="D11" i="81"/>
  <c r="AD13" i="69"/>
  <c r="AE13" i="69"/>
  <c r="G16" i="83"/>
  <c r="F17" i="83"/>
  <c r="J17" i="83"/>
  <c r="Q13" i="62"/>
  <c r="N9" i="74"/>
  <c r="I9" i="82"/>
  <c r="H9" i="82"/>
  <c r="E52" i="82"/>
  <c r="J11" i="76"/>
  <c r="K11" i="76"/>
  <c r="I20" i="74"/>
  <c r="R19" i="84"/>
  <c r="AA19" i="84" s="1"/>
  <c r="N20" i="84"/>
  <c r="H50" i="83"/>
  <c r="G34" i="83"/>
  <c r="J34" i="83" s="1"/>
  <c r="J35" i="83"/>
  <c r="N21" i="84"/>
  <c r="Y21" i="84" s="1"/>
  <c r="AA21" i="84"/>
  <c r="AA20" i="84"/>
  <c r="N22" i="84"/>
  <c r="Y22" i="84" s="1"/>
  <c r="AA22" i="84"/>
  <c r="J30" i="74"/>
  <c r="N30" i="74"/>
  <c r="N16" i="74" s="1"/>
  <c r="N15" i="74" s="1"/>
  <c r="V15" i="74" s="1"/>
  <c r="U32" i="74"/>
  <c r="G20" i="71"/>
  <c r="S30" i="74"/>
  <c r="E23" i="57"/>
  <c r="D22" i="57"/>
  <c r="D21" i="57" s="1"/>
  <c r="U19" i="84"/>
  <c r="F28" i="83"/>
  <c r="I28" i="83" s="1"/>
  <c r="J28" i="83"/>
  <c r="E35" i="58"/>
  <c r="C34" i="58"/>
  <c r="I39" i="83"/>
  <c r="F34" i="83"/>
  <c r="I34" i="83" s="1"/>
  <c r="E13" i="58"/>
  <c r="F15" i="58"/>
  <c r="N19" i="84" l="1"/>
  <c r="Y19" i="84" s="1"/>
  <c r="Y20" i="84"/>
  <c r="R20" i="74"/>
  <c r="I17" i="83"/>
  <c r="F16" i="83"/>
  <c r="I52" i="82"/>
  <c r="AD42" i="82"/>
  <c r="AD40" i="82"/>
  <c r="H52" i="82"/>
  <c r="J16" i="83"/>
  <c r="G15" i="83"/>
  <c r="J16" i="74"/>
  <c r="I30" i="74"/>
  <c r="R30" i="74" s="1"/>
  <c r="F21" i="57"/>
  <c r="F22" i="57"/>
  <c r="D33" i="57"/>
  <c r="E21" i="57"/>
  <c r="D10" i="81"/>
  <c r="E10" i="81" s="1"/>
  <c r="E11" i="81"/>
  <c r="E34" i="58"/>
  <c r="C45" i="58"/>
  <c r="E45" i="58" s="1"/>
  <c r="F29" i="58"/>
  <c r="I16" i="83" l="1"/>
  <c r="F15" i="83"/>
  <c r="J15" i="74"/>
  <c r="S16" i="74"/>
  <c r="J15" i="83"/>
  <c r="G14" i="83"/>
  <c r="J14" i="83" s="1"/>
  <c r="I16" i="74"/>
  <c r="I15" i="74" l="1"/>
  <c r="R15" i="74" s="1"/>
  <c r="R16" i="74"/>
  <c r="U17" i="74"/>
  <c r="S15" i="74"/>
  <c r="F14" i="83"/>
  <c r="I14" i="83" s="1"/>
  <c r="I15" i="83"/>
</calcChain>
</file>

<file path=xl/sharedStrings.xml><?xml version="1.0" encoding="utf-8"?>
<sst xmlns="http://schemas.openxmlformats.org/spreadsheetml/2006/main" count="1369" uniqueCount="582">
  <si>
    <t>Ngân sách cấp huyện</t>
  </si>
  <si>
    <t>Bổ sung từ ngân sách cấp tỉnh</t>
  </si>
  <si>
    <t>Thu ngân sách hưởng theo phân cấp</t>
  </si>
  <si>
    <t xml:space="preserve"> - Các khoản thu NS xã hưởng 100%</t>
  </si>
  <si>
    <t xml:space="preserve"> - Các khoản thu phân chia NS xã hưởng theo tỉ lệ phần trăm (%)</t>
  </si>
  <si>
    <t>Chi đảm bảo xã hội</t>
  </si>
  <si>
    <t>Dự phòng</t>
  </si>
  <si>
    <t>STT</t>
  </si>
  <si>
    <t>I</t>
  </si>
  <si>
    <t>II</t>
  </si>
  <si>
    <t>A</t>
  </si>
  <si>
    <t>B</t>
  </si>
  <si>
    <t>III</t>
  </si>
  <si>
    <t>IV</t>
  </si>
  <si>
    <t>Thu ngân sách cấp dưới nộp lên cấp trên</t>
  </si>
  <si>
    <t>V</t>
  </si>
  <si>
    <t>VI</t>
  </si>
  <si>
    <t>VII</t>
  </si>
  <si>
    <t>C</t>
  </si>
  <si>
    <t>TT</t>
  </si>
  <si>
    <t>Bao gồm</t>
  </si>
  <si>
    <t>So sánh QT/DT (%)</t>
  </si>
  <si>
    <t>Tổng số</t>
  </si>
  <si>
    <t>Trong đó</t>
  </si>
  <si>
    <t xml:space="preserve">Tổng số </t>
  </si>
  <si>
    <t>Vốn trong nước</t>
  </si>
  <si>
    <t>Khoa học công nghệ</t>
  </si>
  <si>
    <t>Tỉnh, thành phố</t>
  </si>
  <si>
    <t>Dự toán</t>
  </si>
  <si>
    <t>Quyết toán</t>
  </si>
  <si>
    <t>Bổ sung cân đối</t>
  </si>
  <si>
    <t>Bổ sung có mục tiêu</t>
  </si>
  <si>
    <t>Trong đó vốn ngoài nước</t>
  </si>
  <si>
    <t xml:space="preserve">Trong đó vốn ngoài nước </t>
  </si>
  <si>
    <t>Chi thường xuyên</t>
  </si>
  <si>
    <t>Chi đầu tư phát triển</t>
  </si>
  <si>
    <t>Nội dung</t>
  </si>
  <si>
    <t>Thu ngân sách huyện hưởng theo phân cấp</t>
  </si>
  <si>
    <t xml:space="preserve"> - Các khoản thu NS huyện hưởng 100%</t>
  </si>
  <si>
    <t xml:space="preserve"> - Các khoản thu phân chia NS huyện hưởng theo tỉ lệ phần trăm (%)</t>
  </si>
  <si>
    <t>Bổ sung từ ngân sách cấp trên</t>
  </si>
  <si>
    <t xml:space="preserve"> - Bổ sung cân đối</t>
  </si>
  <si>
    <t xml:space="preserve"> - Bổ sung có mục tiêu</t>
  </si>
  <si>
    <t>Trong đó: vốn XDCB ngoài nước</t>
  </si>
  <si>
    <t>Thu chuyển nguồn ngân sách năm trước</t>
  </si>
  <si>
    <t>Chi bổ sung quỹ dự trữ tài chính</t>
  </si>
  <si>
    <t>Thu kết dư</t>
  </si>
  <si>
    <t>Chi chuyển nguồn ngân sách sang năm sau</t>
  </si>
  <si>
    <t>Chi bổ sung ngân sách cấp dưới</t>
  </si>
  <si>
    <t>Các khoản chi bằng nguồn thu để lại ĐV chi quản lý qua KBNN</t>
  </si>
  <si>
    <t>CHỦ TỊCH</t>
  </si>
  <si>
    <t>Trong đó:</t>
  </si>
  <si>
    <t>Chi giáo dục - đào tạo và dạy nghề</t>
  </si>
  <si>
    <t>Chi khoa học và công nghệ</t>
  </si>
  <si>
    <t>Chi nộp ngân sách cấp trên</t>
  </si>
  <si>
    <t>- Các khoản thu phân chia NS huyện hưởng theo tỉ lệ phần trăm (%)</t>
  </si>
  <si>
    <t>Biểu số 48</t>
  </si>
  <si>
    <t xml:space="preserve"> 31/2017/NĐCP</t>
  </si>
  <si>
    <t>Tổng nguồn thu ngân sách địa phương</t>
  </si>
  <si>
    <t>Tổng chi ngân sách địa phương</t>
  </si>
  <si>
    <t>Biểu số 49</t>
  </si>
  <si>
    <t xml:space="preserve">QUYẾT TOÁN CÂN ĐỐI NGUỒN THU, CHI NGÂN SÁCH </t>
  </si>
  <si>
    <t xml:space="preserve">Nguồn thu ngân sách </t>
  </si>
  <si>
    <t>Chi ngân sách</t>
  </si>
  <si>
    <t xml:space="preserve">Chi ngân sách </t>
  </si>
  <si>
    <t xml:space="preserve"> Biểu số 59</t>
  </si>
  <si>
    <t>So sánh</t>
  </si>
  <si>
    <t>Tên đơn vị</t>
  </si>
  <si>
    <t>So sánh %</t>
  </si>
  <si>
    <t>Chi đầu tư phát triển (Không kể CTMTQG)</t>
  </si>
  <si>
    <t>Chi thường xuyên (Không kể CTMTQG)</t>
  </si>
  <si>
    <t xml:space="preserve">Chi trả nợ lãi do chính quyền địa phương vay </t>
  </si>
  <si>
    <t xml:space="preserve">Chi đầu tư phát triển </t>
  </si>
  <si>
    <t>13=4/1</t>
  </si>
  <si>
    <t>14=5/2</t>
  </si>
  <si>
    <t>TỔNG SỐ</t>
  </si>
  <si>
    <t>Các cơ quan, tổ chức</t>
  </si>
  <si>
    <t>Phòng Tài chính - Kế hoạch</t>
  </si>
  <si>
    <t>Phòng Nông nghiệp và PTNT</t>
  </si>
  <si>
    <t>Uỷ ban Mặt trận TQVN huyện</t>
  </si>
  <si>
    <t>Hội nông dân</t>
  </si>
  <si>
    <t>Huyện đoàn</t>
  </si>
  <si>
    <t>Hội Cựu chiến binh</t>
  </si>
  <si>
    <t>Ban chỉ huy quân sự</t>
  </si>
  <si>
    <t>Công an huyện</t>
  </si>
  <si>
    <t>Chi dự phòng ngân sách</t>
  </si>
  <si>
    <t>Chi tạo nguồn điều chỉnh tiền lương</t>
  </si>
  <si>
    <t>Biểu số 54</t>
  </si>
  <si>
    <t>Chi giáo dục đào tạo và dạy nghề</t>
  </si>
  <si>
    <t>Chi quốc phòng</t>
  </si>
  <si>
    <t>Chi an ninh và trật tự an toàn xã hội</t>
  </si>
  <si>
    <t>Chi văn hóa thông tin</t>
  </si>
  <si>
    <t>Chi phát thanh, truyền hình, thông tấn</t>
  </si>
  <si>
    <t>Chi bảo vệ môi trường</t>
  </si>
  <si>
    <t>Chi các hoạt động kinh tế</t>
  </si>
  <si>
    <t>Chi hoạt động của các cơ quan quản lý nhà nước, Đảng, Đoàn thể</t>
  </si>
  <si>
    <t>18=2/1</t>
  </si>
  <si>
    <t>Biểu số 56</t>
  </si>
  <si>
    <t>S
T
T</t>
  </si>
  <si>
    <t>Tổng thu NSĐP</t>
  </si>
  <si>
    <t>Thu NSĐP hưởng theo phân cấp</t>
  </si>
  <si>
    <t>Số bổ sung thực hiện cải cách tiền lương</t>
  </si>
  <si>
    <t>Thu chuyển nguồn từ năm trước chuyển sang</t>
  </si>
  <si>
    <t>Thu từ kết dư năm trước</t>
  </si>
  <si>
    <t xml:space="preserve"> Biểu số 60</t>
  </si>
  <si>
    <t>Chi thể dục thể thao</t>
  </si>
  <si>
    <t>ĐVT:  đồng</t>
  </si>
  <si>
    <t>Đơn vị:   đồng</t>
  </si>
  <si>
    <t xml:space="preserve">Phòng Giáo dục - Đào tạo </t>
  </si>
  <si>
    <t>Trường MN Hoa Mai</t>
  </si>
  <si>
    <t>Trường MN Tuổi Ngọc</t>
  </si>
  <si>
    <t>Trường MN Măng Non</t>
  </si>
  <si>
    <t>TTHTCĐ xã Ia Dom</t>
  </si>
  <si>
    <t>TTHTCĐ xã Ia Dđal</t>
  </si>
  <si>
    <t>TTHTCĐ xã Ia Tơi</t>
  </si>
  <si>
    <t>Hạt Kiểm Lâm</t>
  </si>
  <si>
    <t>UBND xã Ia Tơi</t>
  </si>
  <si>
    <t>UBND xã Ia Dom</t>
  </si>
  <si>
    <t>UBND xã Ia Đal</t>
  </si>
  <si>
    <t>Tòa án nhân dân</t>
  </si>
  <si>
    <t>Viện kiểm sát nhân dân</t>
  </si>
  <si>
    <t>Trung tâm y tế</t>
  </si>
  <si>
    <t>Đơn vị:  đồng</t>
  </si>
  <si>
    <t>Khác</t>
  </si>
  <si>
    <t>Đơn vị: đồng</t>
  </si>
  <si>
    <t>UBND HUYỆN IA H'DRAI</t>
  </si>
  <si>
    <t>Dự toán năm</t>
  </si>
  <si>
    <t>Quyết toán năm</t>
  </si>
  <si>
    <t>Phân chia theo từng cấp ngân sách</t>
  </si>
  <si>
    <t>Cấp trên giao</t>
  </si>
  <si>
    <t>HĐND quyết định</t>
  </si>
  <si>
    <t>Thu NS TW</t>
  </si>
  <si>
    <t>Thu NS cấp tỉnh</t>
  </si>
  <si>
    <t>Thu NS cấp huyện</t>
  </si>
  <si>
    <t>Thu NS xã</t>
  </si>
  <si>
    <t>(3)=(4)+(5)+(6)+(7)</t>
  </si>
  <si>
    <t>(8)=(3):(1)</t>
  </si>
  <si>
    <t>(9)=(3):(2)</t>
  </si>
  <si>
    <t>THU NGÂN SÁCH NHÀ NƯỚC</t>
  </si>
  <si>
    <t>Thu từ khu vực doanh nghiệp nhà nước do Trung ương quản lý</t>
  </si>
  <si>
    <t>- Thuế giá trị gia tăng</t>
  </si>
  <si>
    <t>Trong đó: Thu từ hoạt động thăm dò, khai thác, dầu khí</t>
  </si>
  <si>
    <t>- Thuế thu nhập doanh nghiệp</t>
  </si>
  <si>
    <t>- Thuế tiêu thụ đặc biệt</t>
  </si>
  <si>
    <t>Trong đó: Thu từ cơ sở kinh doanh nhập khẩu tiếp tục bán ra trong nước</t>
  </si>
  <si>
    <t>- Thu khác</t>
  </si>
  <si>
    <t>Trong đó: Thuế tài nguyên dầu, khí</t>
  </si>
  <si>
    <t>Thu từ khu vực doanh nghiệp nhà nước do địa phương quản lý</t>
  </si>
  <si>
    <t>- Thuế tài nguyên</t>
  </si>
  <si>
    <t>Thu từ khu vực doanh nghiệp có vốn đầu tư nước ngoài</t>
  </si>
  <si>
    <t>Trong đó: Thu từ hoạt động thăm dò và khai thác dầu, khí</t>
  </si>
  <si>
    <t xml:space="preserve">Trong đó: Thu từ hoạt động thăm dò và khai thác dầu, khí </t>
  </si>
  <si>
    <t xml:space="preserve">- Thu từ khí thiên nhiên </t>
  </si>
  <si>
    <t>Trong đó: - Thu từ cơ sở kinh doanh nhập khẩu tiếp tục bán ra trong nước</t>
  </si>
  <si>
    <t>- Tiền thuê mặt đất, mặt nước</t>
  </si>
  <si>
    <t>Thu từ khu vực kinh tế ngoài quốc doanh</t>
  </si>
  <si>
    <t xml:space="preserve">Trong đó: Thu từ cơ sở kinh doanh nhập khẩu tiếp tục bán ra trong nước </t>
  </si>
  <si>
    <t>Lệ phí trước bạ</t>
  </si>
  <si>
    <t>Thuế sử dụng đất nông nghiệp</t>
  </si>
  <si>
    <t>Thuế sử dụng đất phi nông nghiệp</t>
  </si>
  <si>
    <t>Thuế thu nhập cá nhân</t>
  </si>
  <si>
    <t>Thuế bảo vệ môi trường</t>
  </si>
  <si>
    <t>Trong đó: - Thu từ hàng hóa nhập khẩu</t>
  </si>
  <si>
    <t>- Thu từ hàng hóa sản xuất trong nước</t>
  </si>
  <si>
    <t>Phí, lệ phí</t>
  </si>
  <si>
    <t>Bao gồm: - Phí, lệ phí do cơ quan nhà nước trung ương thu</t>
  </si>
  <si>
    <t>- Phí, lệ phí do cơ quan nhà nước địa phương thu</t>
  </si>
  <si>
    <t>Trong đó: phí bảo vệ môi trường đối với khai thác khoáng sản</t>
  </si>
  <si>
    <t>Tiền sử dụng đất</t>
  </si>
  <si>
    <t>Trong đó: - Thu do cơ quan, tổ chức, đơn vị thuộc Trung ương quản lý</t>
  </si>
  <si>
    <t>- Thu do cơ quan, tổ chức, đơn vị thuộc địa phương quản lý</t>
  </si>
  <si>
    <t>12</t>
  </si>
  <si>
    <t>Thu tiền thuê đất, mặt nước</t>
  </si>
  <si>
    <t>Thu tiền sử dụng khu vực biển</t>
  </si>
  <si>
    <t>Trong đó: - Thuộc thẩm quyền giao của trung ương</t>
  </si>
  <si>
    <t>- Thuộc thẩm quyền giao của địa phương</t>
  </si>
  <si>
    <t>Thu từ bán tài sản nhà nước</t>
  </si>
  <si>
    <t>Trong đó: - Do trung ương</t>
  </si>
  <si>
    <t xml:space="preserve">                - Do địa phương</t>
  </si>
  <si>
    <t>Thu từ tài sản được xác lập quyền sở hữu của nhà nước</t>
  </si>
  <si>
    <t>Trong đó: - Do trung ương xử lý</t>
  </si>
  <si>
    <t xml:space="preserve">                - Do địa phương xử lý</t>
  </si>
  <si>
    <t>Thu tiền cho thuê và bán nhà ở thuộc sở hữu nhà nước</t>
  </si>
  <si>
    <t>Thu khác ngân sách</t>
  </si>
  <si>
    <t>Trong đó: - Thu khác ngân sách trung ương</t>
  </si>
  <si>
    <t>Thu tiền cấp quyền khai thác khoáng sản</t>
  </si>
  <si>
    <t>Trong đó: - Giấy phép do Trung ương cấp</t>
  </si>
  <si>
    <t>- Giấy phép do Ủy ban nhân dân cấp tỉnh cấp</t>
  </si>
  <si>
    <t>Thu tại xã</t>
  </si>
  <si>
    <t>Thu cổ tức và lợi nhuận sau thuế</t>
  </si>
  <si>
    <t>Thu từ hoạt động xổ số kiến thiết (kể cả xổ số điện toán)</t>
  </si>
  <si>
    <t>Thu về dầu thô</t>
  </si>
  <si>
    <t xml:space="preserve">Thu về dầu thô theo hiệp định, hợp đồng </t>
  </si>
  <si>
    <t>1.1</t>
  </si>
  <si>
    <t>Thuế tài nguyên</t>
  </si>
  <si>
    <t>1.2</t>
  </si>
  <si>
    <t>Thuế thu nhập doanh nghiệp</t>
  </si>
  <si>
    <t>1.3</t>
  </si>
  <si>
    <t>Lợi nhuận sau thuế được chia của Chính phủ Việt Nam</t>
  </si>
  <si>
    <t>1.4</t>
  </si>
  <si>
    <t>Dầu lãi được chia của Chính phủ Việt Nam</t>
  </si>
  <si>
    <t>1.5</t>
  </si>
  <si>
    <t xml:space="preserve">Thuế đặc biệt </t>
  </si>
  <si>
    <t>1.6</t>
  </si>
  <si>
    <t>Thu khác</t>
  </si>
  <si>
    <t xml:space="preserve">Thu về Condensate theo hiệp định, hợp đồng. </t>
  </si>
  <si>
    <t>Phụ thu về dầu, khí</t>
  </si>
  <si>
    <t>Thu về khí thiên nhiên (không bao gồm doanh nghiệp có vốn đầu tư nước ngoài)</t>
  </si>
  <si>
    <t>Thu Hải quan</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</si>
  <si>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</si>
  <si>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</si>
  <si>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</si>
  <si>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</si>
  <si>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</si>
  <si>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</si>
  <si>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</si>
  <si>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</si>
  <si>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Viện trợ</t>
  </si>
  <si>
    <t>Các khoản huy động, đóng góp</t>
  </si>
  <si>
    <t>Các khoản huy động đóng góp xây dựng cơ sở hạ tầng</t>
  </si>
  <si>
    <t>Các khoản huy động đóng góp khác</t>
  </si>
  <si>
    <t>Thu hồi vốn của Nhà nước và thu từ quỹ dự trữ tài chính</t>
  </si>
  <si>
    <t>Thu từ bán cổ phần, vốn góp của Nhà nước nộp ngân sách</t>
  </si>
  <si>
    <t>Thu từ các khoản cho vay của ngân sách</t>
  </si>
  <si>
    <t>2.1</t>
  </si>
  <si>
    <t>Thu nợ gốc cho vay</t>
  </si>
  <si>
    <t>2.2</t>
  </si>
  <si>
    <t>Thu lãi cho vay</t>
  </si>
  <si>
    <t>Thu từ quỹ dự trữ tài chính</t>
  </si>
  <si>
    <t>VAY CỦA NGÂN SÁCH ĐỊA PHƯƠNG</t>
  </si>
  <si>
    <t>Vay bù đắp bội chi NSĐP</t>
  </si>
  <si>
    <t>Vay trong nước</t>
  </si>
  <si>
    <t>Vay lại từ nguồn Chính phủ vay ngoài nước</t>
  </si>
  <si>
    <t>Vay để trả nợ gốc vay</t>
  </si>
  <si>
    <t>THU CHUYỂN GIAO NGÂN SÁCH</t>
  </si>
  <si>
    <t>Thu bổ sung từ ngân sách cấp trên</t>
  </si>
  <si>
    <t>1.</t>
  </si>
  <si>
    <t xml:space="preserve">Bổ sung cân đối </t>
  </si>
  <si>
    <t>2.</t>
  </si>
  <si>
    <t xml:space="preserve">Bổ sung có mục tiêu bằng nguồn vốn trong nước </t>
  </si>
  <si>
    <t>Bổ sung có mục tiêu bằng nguồn vốn ngoài nước</t>
  </si>
  <si>
    <t>Thu từ ngân sách cấp dưới nộp lên</t>
  </si>
  <si>
    <t>D</t>
  </si>
  <si>
    <t>THU CHUYỂN NGUỒN</t>
  </si>
  <si>
    <t>E</t>
  </si>
  <si>
    <t>THU KẾT DƯ NGÂN SÁCH</t>
  </si>
  <si>
    <t>Mẫu biểu số 50</t>
  </si>
  <si>
    <t>Nội dung chi</t>
  </si>
  <si>
    <t>So sánh QT/DT(%)</t>
  </si>
  <si>
    <t>Tổng số Chi NSĐP</t>
  </si>
  <si>
    <t>Chi NS cấp huyện</t>
  </si>
  <si>
    <t>Chi NS xã</t>
  </si>
  <si>
    <t>(3)=(4)+(5)+(6)</t>
  </si>
  <si>
    <t>(7)=(3):(1)</t>
  </si>
  <si>
    <t>(8)= (3):(2)</t>
  </si>
  <si>
    <t>CHI  NGÂN SÁCH</t>
  </si>
  <si>
    <t>Chi đầu tư phát triển cho chương trình, dự án theo lĩnh vực</t>
  </si>
  <si>
    <t>Chi Giáo dục - đào tạo và dạy nghề</t>
  </si>
  <si>
    <t>Chi Khoa học và công nghệ</t>
  </si>
  <si>
    <t>Chi Y tế, dân số và gia đình</t>
  </si>
  <si>
    <t>Chi Văn hóa thông tin</t>
  </si>
  <si>
    <t>1.7</t>
  </si>
  <si>
    <t>Chi Phát thanh, truyền hình, thông tấn</t>
  </si>
  <si>
    <t>1.8</t>
  </si>
  <si>
    <t>Chi Thể dục thể thao</t>
  </si>
  <si>
    <t>1.9</t>
  </si>
  <si>
    <t>Chi Bảo vệ môi trường</t>
  </si>
  <si>
    <t>1.10</t>
  </si>
  <si>
    <t>1.11</t>
  </si>
  <si>
    <t>Chi hoạt động của các cơ quan quản lý nhà nước, đảng, đoàn thể</t>
  </si>
  <si>
    <t>1.12</t>
  </si>
  <si>
    <t>Chi Bảo đảm xã hội</t>
  </si>
  <si>
    <t>1.13</t>
  </si>
  <si>
    <t>Chi ngành, lĩnh vực khác</t>
  </si>
  <si>
    <t>Chi đầu tư và hỗ trợ vốn cho các doanh nghiệp hoạt động công</t>
  </si>
  <si>
    <t>Chi đầu tư phát triển khác</t>
  </si>
  <si>
    <t>Chi trả nợ lãi vay theo quy định</t>
  </si>
  <si>
    <t>2.3</t>
  </si>
  <si>
    <t>2.4</t>
  </si>
  <si>
    <t>2.5</t>
  </si>
  <si>
    <t>2.6</t>
  </si>
  <si>
    <t>2.7</t>
  </si>
  <si>
    <t>2.8</t>
  </si>
  <si>
    <t>2.9</t>
  </si>
  <si>
    <t>2.10</t>
  </si>
  <si>
    <t>2.11</t>
  </si>
  <si>
    <t>2.12</t>
  </si>
  <si>
    <t>2.13</t>
  </si>
  <si>
    <t>Chi khác</t>
  </si>
  <si>
    <t>2.14</t>
  </si>
  <si>
    <t>Chi chuyển nguồn</t>
  </si>
  <si>
    <t>CHI BỔ SUNG CHO NGÂN SÁCH CẤP DƯỚI</t>
  </si>
  <si>
    <t>Tr. đó: - Bằng nguồn vốn trong nước</t>
  </si>
  <si>
    <t xml:space="preserve">           - Bằng nguồn vốn ngoài nước</t>
  </si>
  <si>
    <t>CHI NỘP NGÂN SÁCH CẤP TRÊN</t>
  </si>
  <si>
    <t>Mẫu biểu số 52</t>
  </si>
  <si>
    <t>Chương trình mục tiêu quốc gia xây dựng nôn thôn mới</t>
  </si>
  <si>
    <t>Chương trình mục tiêu quốc gia giảm nghèo bền vững</t>
  </si>
  <si>
    <t>Đầu tư phát triển</t>
  </si>
  <si>
    <t>Kinh phí sự nghiệp</t>
  </si>
  <si>
    <t>Vốn ngoài nước</t>
  </si>
  <si>
    <t>So sánh (%)</t>
  </si>
  <si>
    <t>Chi đầu tư
 phát triển</t>
  </si>
  <si>
    <t>Chi 
sự nghiệp</t>
  </si>
  <si>
    <t>Phòng Nông nghiệp và phát triển nông thôn huyện</t>
  </si>
  <si>
    <t>Biểu mẫu số 63</t>
  </si>
  <si>
    <t>TỔNG HỢP CÁC QUỸ TÀI CHÍNH NHÀ NƯỚC</t>
  </si>
  <si>
    <t>Đơn vị: Triệu đồng</t>
  </si>
  <si>
    <t>Tên Quỹ</t>
  </si>
  <si>
    <t>Tổng nguồn vốn phát sinh trong năm</t>
  </si>
  <si>
    <t>Tổng sử dụng nguồn vốn trong năm</t>
  </si>
  <si>
    <t>Chênh lệch nguồn trong năm</t>
  </si>
  <si>
    <r>
      <t xml:space="preserve">Trong đó: Hỗ trợ từ NSĐP </t>
    </r>
    <r>
      <rPr>
        <sz val="14"/>
        <rFont val="Times New Roman"/>
        <family val="1"/>
      </rPr>
      <t>(nếu có)</t>
    </r>
  </si>
  <si>
    <t>5=2-4</t>
  </si>
  <si>
    <t>9=6-8</t>
  </si>
  <si>
    <t>10=1+6-8</t>
  </si>
  <si>
    <t>Qũy vì người nghèo</t>
  </si>
  <si>
    <t>Qũy cứu trợ</t>
  </si>
  <si>
    <t>Quỹ C</t>
  </si>
  <si>
    <t>……..</t>
  </si>
  <si>
    <t>Tên đơn vị</t>
  </si>
  <si>
    <t>Chi y tế, dân số và gia đình</t>
  </si>
  <si>
    <t>Chi văn hóa thông tin</t>
  </si>
  <si>
    <t>Chi thể dục thể thao</t>
  </si>
  <si>
    <t>Chi các hoạtđộng kinh tế</t>
  </si>
  <si>
    <t>Chi hoạt động của cơ quan quản lý nhà nước, đảng, đoàn thể</t>
  </si>
  <si>
    <t>Chi bảo đảm xãhội</t>
  </si>
  <si>
    <t>Chi đầu tư khác</t>
  </si>
  <si>
    <t>Chi nông nghiệp, lâm nghiệp, thủy lợi, thủy sản</t>
  </si>
  <si>
    <t>TỔNG SỐ</t>
  </si>
  <si>
    <t>Biểu mẫu số 55</t>
  </si>
  <si>
    <t>Ban quản lý đầu tư và xây dựng huyện</t>
  </si>
  <si>
    <t>Ghi thu quản lý qua ngân sách</t>
  </si>
  <si>
    <t>Chi quản lý qua ngân sách nhà nước</t>
  </si>
  <si>
    <t>Ngân sách  xã  huyện</t>
  </si>
  <si>
    <t>Chi đầu tư xdcb</t>
  </si>
  <si>
    <t>Ghi Thu quản lý qua ngân sách</t>
  </si>
  <si>
    <t>Ghi chí quản lý qua ngân sách</t>
  </si>
  <si>
    <t>TỔNG SỐ (A+B+C+D+E+F)</t>
  </si>
  <si>
    <t>F</t>
  </si>
  <si>
    <t>GHI THU QUẢN LÝ QUA NGÂN SÁCH NHÀ NƯỚC</t>
  </si>
  <si>
    <t>GHI CHI QUẢN LÝ QUA NGÂN SÁCH NHÀ NƯỚC</t>
  </si>
  <si>
    <t>TỔNG SỐ (A+B+C+D)</t>
  </si>
  <si>
    <t>Trung tâm dịch vụ nông nghiệp</t>
  </si>
  <si>
    <t>Trung tâm văn hóa thể thao du lịch và truyền thông huyện</t>
  </si>
  <si>
    <t>Tổng</t>
  </si>
  <si>
    <t>Tr.đó</t>
  </si>
  <si>
    <t>Dự toán giao đầu năm</t>
  </si>
  <si>
    <t>Trường TH-THCS Hùng Vương</t>
  </si>
  <si>
    <t>Trường TH-THCS Nguyễn Tất Thành</t>
  </si>
  <si>
    <t>Phòng Lao động Thương binh xã hội</t>
  </si>
  <si>
    <t>Phòng Tư Pháp</t>
  </si>
  <si>
    <t>Trường TH - THCS Nguyễn Du</t>
  </si>
  <si>
    <t>Chi giao thông, đường điện</t>
  </si>
  <si>
    <t>Phòng Kinh tế và Hạ tầng</t>
  </si>
  <si>
    <t>Phòng Nông nghiệp và phát triển nông thôn</t>
  </si>
  <si>
    <t>Ban quản lý dự án đầu tư</t>
  </si>
  <si>
    <t>Trung tâm dịch vụ môi trương và đô thị huyện</t>
  </si>
  <si>
    <t>Dự toán giao  đầu năm</t>
  </si>
  <si>
    <t>Ngân sách huyện</t>
  </si>
  <si>
    <t>Trung tâm y tế huyện</t>
  </si>
  <si>
    <t>Ngân hàng chính sách huyện</t>
  </si>
  <si>
    <t>Phân hiệu trường PT DTNT huyện Ia H'Drai</t>
  </si>
  <si>
    <t>QUYẾT TOÁN THU NSNN, VAY NGÂN SÁCH ĐỊA PHƯƠNG NĂM 2021</t>
  </si>
  <si>
    <t>0</t>
  </si>
  <si>
    <t>Ia H'Drai, ngày    tháng    năm 2022</t>
  </si>
  <si>
    <t>TM. ỦY BAN NHÂN DÂN</t>
  </si>
  <si>
    <t>GIÁM ĐỐC KBNN HUYỆN IA H'DRAI</t>
  </si>
  <si>
    <t xml:space="preserve">TRƯỞNG PHÒNG TÀI CHÍNH - KẾ HOẠCH HUYỆN </t>
  </si>
  <si>
    <t>(Ký tên, đóng dấu)</t>
  </si>
  <si>
    <t xml:space="preserve">Hội LH phụ nữ </t>
  </si>
  <si>
    <t>Đoàn Thanh Niên</t>
  </si>
  <si>
    <t>Dựtoán giao đầu năm</t>
  </si>
  <si>
    <t>Phòng Kinh tế và hạ tầng</t>
  </si>
  <si>
    <t>Biểu mẫu số 61</t>
  </si>
  <si>
    <t>Trung tâm chính trị huyện</t>
  </si>
  <si>
    <t>Văn hóa thông tin,</t>
  </si>
  <si>
    <t>Chi bổ sung cho ngân sách cấp dưới</t>
  </si>
  <si>
    <t>Số bổ sung từ ngân sách cấp trên</t>
  </si>
  <si>
    <t>Phòng Lao động Thương binh và xã hội</t>
  </si>
  <si>
    <t>Ban quản lý Đầu tư và xây dựng</t>
  </si>
  <si>
    <t>Phòng Giáo dục và đào tạo</t>
  </si>
  <si>
    <t>Phòng Tư pháp</t>
  </si>
  <si>
    <t>Hội Liên hiệp phụ nữ</t>
  </si>
  <si>
    <t>KINH PHÍ NSĐP ĐỐI ỨNG THỰC HIỆN CÁC CHƯƠNG TRÌNH MỤC TIÊU QUỐC GIA NĂM 2022</t>
  </si>
  <si>
    <t>Đơn vị, địa phương: Huyện Ia H'Drai</t>
  </si>
  <si>
    <t>Nội dung, Đơn vị</t>
  </si>
  <si>
    <t>Mã mục tiêu</t>
  </si>
  <si>
    <t>Số tiền</t>
  </si>
  <si>
    <t>Số quyết toán</t>
  </si>
  <si>
    <t>Số dư</t>
  </si>
  <si>
    <t>TỔNG CỘNG</t>
  </si>
  <si>
    <t>CHƯƠNG TRÌNH MỤC TIÊU QUỐC GIA XÂY DỰNG NÔNG THÔN MỚI</t>
  </si>
  <si>
    <t>Thực hiện Chương trình mỗi xã một sản phẩm</t>
  </si>
  <si>
    <t>00493</t>
  </si>
  <si>
    <t>Nâng cao hiệu quả hoạt động của các Hợp tác xã nông nghiệp gắn với liên kết theo chuỗi giá trị</t>
  </si>
  <si>
    <t xml:space="preserve">Nâng cao chất lượng môi trường, xây dựng cảnh quan nông thôn sáng, xanh, sạch, đẹp, an toàn </t>
  </si>
  <si>
    <t>00497</t>
  </si>
  <si>
    <t>Truyền thông về xây dựng nông thôn mới</t>
  </si>
  <si>
    <t>00502</t>
  </si>
  <si>
    <t>Kinh phí hoạt động của cơ quan chỉ đạo Chương trình các cấp</t>
  </si>
  <si>
    <t>Các hoạt động khác tại các địa phương</t>
  </si>
  <si>
    <t>00501</t>
  </si>
  <si>
    <t>00496</t>
  </si>
  <si>
    <t>CHƯƠNG TRÌNH MỤC TIÊU QUỐC GIA GIẢM NGHÈO BỀN VỮNG</t>
  </si>
  <si>
    <t>Dự án 1:  Hỗ trợ đầu tư phát triển hạ tầng kinh tế - xã hội các huyện nghèo</t>
  </si>
  <si>
    <t>Tiểu dự án 1: Hỗ trợ đầu tư phát triển hạ tầng kinh tế - xã hội các huyện nghèo</t>
  </si>
  <si>
    <t>-</t>
  </si>
  <si>
    <t>Hỗ trợ duy tu và bão dưỡng</t>
  </si>
  <si>
    <t>00471</t>
  </si>
  <si>
    <t>Dự án 2: Đa dạng hóa sinh kế, phát triển mô hình giảm nghèo</t>
  </si>
  <si>
    <t>Hỗ trợ đa dạng hóa sinh kế, xây dựng, phát triển và nhân rộng các mô hình, dự án giảm nghèo</t>
  </si>
  <si>
    <t>00472</t>
  </si>
  <si>
    <t>Dự án 3: Hỗ trợ phát triển sản xuất, cải thiện dinh dưỡng</t>
  </si>
  <si>
    <t>Tiểu dự án 1:  Hỗ trợ phát triển sản xuất trong lĩnh vực nông nghiệp</t>
  </si>
  <si>
    <t>00473</t>
  </si>
  <si>
    <t>Dự án 4: Phát triển giáo dục nghề nghiệp, việc làm bền vững</t>
  </si>
  <si>
    <t>Tiểu dự án 1. Phát triển giáo dục nghề nghiệp vùng nghèo, vùng khó khăn</t>
  </si>
  <si>
    <t>Hỗ trợ cơ sở giáo dục nghề nghiệp</t>
  </si>
  <si>
    <t>Hỗ trợ đào tạo nghề</t>
  </si>
  <si>
    <t>00474</t>
  </si>
  <si>
    <t>Tiểu dự án 2: Hỗ trợ người lao động đi làm việc ở nước ngoài theo hợp đồng</t>
  </si>
  <si>
    <t>Tiểu dự án 3: Hỗ trợ việc làm bền vững (hoạt động chuyên môn khác)</t>
  </si>
  <si>
    <t>Dự án 6: Truyền thông và giảm nghèo về thông tin</t>
  </si>
  <si>
    <t>Tiểu dự án 1: Giảm nghèo về thông tin</t>
  </si>
  <si>
    <t>00476</t>
  </si>
  <si>
    <t>Phòng Gi áo dục và đào tạo</t>
  </si>
  <si>
    <t>Tiểu dự án 2: Truyền thông về giảm nghèo đa chiều</t>
  </si>
  <si>
    <t>Dự án 7: Nâng cao năng lực và giám sát, đánh giá Chương trình</t>
  </si>
  <si>
    <t>Tiểu dự án 1: Nâng cao năng lực thực hiện Chương trình</t>
  </si>
  <si>
    <t>00477</t>
  </si>
  <si>
    <t>Tiểu dự án 2: Giám sát, đánh giá</t>
  </si>
  <si>
    <t>CHƯƠNG TRÌNH MỤC TIÊU QUỐC GIA PHÁT TRIỂN KT-XH VÙNG ĐỒNG BÀO DTTS VÀ MIỀN NÚI</t>
  </si>
  <si>
    <t>Dự án 1: Giải quyết tình trạng thiếu đất ở, nhà ở, đất sản xuất, nước sinh hoạt</t>
  </si>
  <si>
    <t>00511</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</si>
  <si>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</si>
  <si>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</si>
  <si>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00513</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</si>
  <si>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</si>
  <si>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</si>
  <si>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</si>
  <si>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00514</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</si>
  <si>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</si>
  <si>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</si>
  <si>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00515</t>
  </si>
  <si>
    <t>Tiểu dự án 2: Bồi dưỡng kiến thức dân tộc; đào tạo dự bị đại học, đại học và sau đại học đáp ứng nhu cầu nhân lực cho vùng đồng bào dân tộc thiểu số</t>
  </si>
  <si>
    <t xml:space="preserve">Tiểu dự án 3: Dự án phát triển giáo dục nghề nghiệp và giải quyết việc làm cho người lao động vùng dân tộc thiểu số và miền núi </t>
  </si>
  <si>
    <t>Tiểu dự án 4: Đào tạo nâng cao năng lực cho cộng đồng và cán bộ triển khai Chương trình ở các cấp</t>
  </si>
  <si>
    <t>Phòng Lao động thương binh và xã hội</t>
  </si>
  <si>
    <t>Dự án 6: Bảo tồn, phát huy giá trị văn hóa truyền thống tốt đẹp của các dân tộc thiểu số gắn với phát triển du lịch</t>
  </si>
  <si>
    <t>00516</t>
  </si>
  <si>
    <t>Dự án 8: Thực hiện bình đẳng giới và giải quyết những vấn đề cấp thiết đối với phụ nữ và trẻ em</t>
  </si>
  <si>
    <t>Hội liên hiệp phụ nữ</t>
  </si>
  <si>
    <t>00518</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</si>
  <si>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</si>
  <si>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</si>
  <si>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00519</t>
  </si>
  <si>
    <t>VIII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</si>
  <si>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</si>
  <si>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</si>
  <si>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00521</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</si>
  <si>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</si>
  <si>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</si>
  <si>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Chương trình mục tiêu quốc gia giảm phát triển kinh tế xã hội vùng ĐBDTTS và miền núi</t>
  </si>
  <si>
    <t>Chi các chương trình mục tiêu</t>
  </si>
  <si>
    <t>Chi các chương trình mục tiêu quốc gia</t>
  </si>
  <si>
    <t>Chi các chương trình mục tiêu, nhiệm vụ</t>
  </si>
  <si>
    <t>Chi chuyển nguồn sang năm sau</t>
  </si>
  <si>
    <t>BỘI CHI NSĐP/BỘI THU NSĐP/KẾT DƯ NSĐP</t>
  </si>
  <si>
    <t>CHI TRẢ NỢ GỐC CỦA NSĐP</t>
  </si>
  <si>
    <t>Từ nguồn vay để trả nợ gốc</t>
  </si>
  <si>
    <t>Từ nguồn bội thu, tăng thu, tiết kiệm chi, kết dư ngân sách cấp tỉnh</t>
  </si>
  <si>
    <t>TỔNG MỨC VAY CỦA NSĐP</t>
  </si>
  <si>
    <t>Vay để bù đắp bội chi</t>
  </si>
  <si>
    <t>Vay để trả nợ gốc</t>
  </si>
  <si>
    <t>G</t>
  </si>
  <si>
    <t>TỔNG MỨC DƯ NỢ VAY CUỐI NĂM CỦA NSĐP</t>
  </si>
  <si>
    <t>Tổng chi cân đối ngân sách</t>
  </si>
  <si>
    <t>THU CHUYỂN NGUỒN TỪ NĂM TRƯỚC CHUYỂN SANG</t>
  </si>
  <si>
    <t>Biểu mẫu số 51</t>
  </si>
  <si>
    <t>Nội dung (1)</t>
  </si>
  <si>
    <t>3=2/1</t>
  </si>
  <si>
    <t xml:space="preserve">TỔNG CHI NGÂN SÁCH ĐỊA PHƯƠNG </t>
  </si>
  <si>
    <t>CHI CÂN ĐỐI NGÂN SÁCH ĐỊA PHƯƠNG</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</si>
  <si>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</si>
  <si>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</si>
  <si>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</si>
  <si>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</si>
  <si>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</si>
  <si>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</si>
  <si>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</si>
  <si>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</si>
  <si>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 xml:space="preserve">  Chi giáo dục - đào tạo và dạy nghề</t>
  </si>
  <si>
    <t xml:space="preserve">  Chi khoa học và công nghệ </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</si>
  <si>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</si>
  <si>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</si>
  <si>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</si>
  <si>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</si>
  <si>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</si>
  <si>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 xml:space="preserve">CHI CHUYỂN NGUỒN SANG NĂM SAU </t>
  </si>
  <si>
    <t>Chương trình MTQG xây dựng nông thôn mới</t>
  </si>
  <si>
    <t>Chương trình MTQG giảm nghèo bền vững</t>
  </si>
  <si>
    <t>Chương trình MTQG phát triển kinh tế vùng Đồng bào DTTS và miền núi</t>
  </si>
  <si>
    <t>Vốn sự nghiệp</t>
  </si>
  <si>
    <t>Vốn đầu tư</t>
  </si>
  <si>
    <t>\</t>
  </si>
  <si>
    <t>Biểu mẫu số 53</t>
  </si>
  <si>
    <t>Ngân</t>
  </si>
  <si>
    <t>sách</t>
  </si>
  <si>
    <t>địa</t>
  </si>
  <si>
    <t>cấp tỉnh</t>
  </si>
  <si>
    <t>huyện</t>
  </si>
  <si>
    <t>phương</t>
  </si>
  <si>
    <t>(huyện)</t>
  </si>
  <si>
    <t>(xã)</t>
  </si>
  <si>
    <t>1=2+3</t>
  </si>
  <si>
    <t>4=5+6</t>
  </si>
  <si>
    <t>7=4/1</t>
  </si>
  <si>
    <t>8=5/2</t>
  </si>
  <si>
    <t>9=6/3</t>
  </si>
  <si>
    <t>TỔNG CHI NSĐP</t>
  </si>
  <si>
    <t>CHI CÂN ĐỐI NSĐP</t>
  </si>
  <si>
    <t>Chi trả nợ lãi các khoản do chính quyền địa phương vay</t>
  </si>
  <si>
    <t>QUYẾT TOÁN CHI NGÂN SÁCH ĐỊA PHƯƠNG, CHI NGÂN SÁCH CẤP HUYỆN</t>
  </si>
  <si>
    <t>Ngân sách cấp xã</t>
  </si>
  <si>
    <t>CHI NỘP TRẢ NGÂN SÁCH CẤP TRÊN</t>
  </si>
  <si>
    <t>Văn phòng Huyện ủy</t>
  </si>
  <si>
    <t>Văn phòng HĐND - UBND huyện</t>
  </si>
  <si>
    <t>Phòng Nội vụ</t>
  </si>
  <si>
    <t>Thanh tra huyện</t>
  </si>
  <si>
    <t>Phòng Tài nguyên và môi trường</t>
  </si>
  <si>
    <t>Ban QL đầu tư và xây dựng huyện</t>
  </si>
  <si>
    <t>PGD Ngân hàng chính sách huyện</t>
  </si>
  <si>
    <t>05 Đồn Biên Phòng</t>
  </si>
  <si>
    <t>Phòng giáo dục và đào tạo</t>
  </si>
  <si>
    <t xml:space="preserve">Văn phòng  HĐND - UBND huyện </t>
  </si>
  <si>
    <t>Biểu mẫu số 58</t>
  </si>
  <si>
    <t xml:space="preserve">Chi </t>
  </si>
  <si>
    <t>chuyển</t>
  </si>
  <si>
    <t>số</t>
  </si>
  <si>
    <t>Chi</t>
  </si>
  <si>
    <t>nguồn</t>
  </si>
  <si>
    <t>giáo</t>
  </si>
  <si>
    <t>khoa</t>
  </si>
  <si>
    <t>sang</t>
  </si>
  <si>
    <t>dục</t>
  </si>
  <si>
    <t>học</t>
  </si>
  <si>
    <t>năm</t>
  </si>
  <si>
    <t>đào</t>
  </si>
  <si>
    <t>và</t>
  </si>
  <si>
    <t>sau</t>
  </si>
  <si>
    <t>tạo</t>
  </si>
  <si>
    <t>công</t>
  </si>
  <si>
    <t>dạy</t>
  </si>
  <si>
    <t>nghệ</t>
  </si>
  <si>
    <t>nghề</t>
  </si>
  <si>
    <t>(3)</t>
  </si>
  <si>
    <t>Bảo hiểm xã hội huyện</t>
  </si>
  <si>
    <t>QUYẾT TOÁN CÂN ĐỐI NGÂN SÁCH HUYỆN NĂM 2024</t>
  </si>
  <si>
    <t>CẤP HUYỆN VÀ NGÂN SÁCH CẤP XÃ NĂM 2024</t>
  </si>
  <si>
    <t>QUYẾT TOÁN THU NSNN, VAY NGÂN SÁCH ĐỊA PHƯƠNG NĂM 2024</t>
  </si>
  <si>
    <t>QUYẾT TOÁN CHI NGÂN SÁCH ĐỊA PHƯƠNG NĂM 2024</t>
  </si>
  <si>
    <t>QUYẾT TOÁN CHI ĐẦU TƯ DỰ ÁN CỦA NGÂN SÁCH CẤP HUYỆN CHO TỪNG CƠ QUAN, TỔ CHỨC THEO LĨNH VỰC NĂM 2024</t>
  </si>
  <si>
    <t>QUYẾT TOÁN CHI NGÂN SÁCH ĐỊA PHƯƠNG THEO LĨNH VỰC  NĂM 2024</t>
  </si>
  <si>
    <t>QUYẾT TOÁN CHI CHƯƠNG TRÌNH MỤC TIÊU QUỐC GIA NGÂN SÁCH HUYỆN NĂM 2024</t>
  </si>
  <si>
    <t>Ủy ban MTTQVN huyện</t>
  </si>
  <si>
    <t xml:space="preserve">Dự toán Chương trình 
mục tiêu quốc gia giao đầu năm </t>
  </si>
  <si>
    <t>Chi CT MTQG</t>
  </si>
  <si>
    <t>QUYẾT TOÁN CHI NGÂN SÁCH ĐỊA PHƯƠNG TỪNG XÃ NĂM 2024</t>
  </si>
  <si>
    <t xml:space="preserve">Chi CTMTQG </t>
  </si>
  <si>
    <t>Chi CTMTQG</t>
  </si>
  <si>
    <t>QUYẾT TOÁN CHI BỔ SUNG TỪ NS CẤP HUYỆN CHO NGÂN SÁCH XÃ ĐỐI VỚI TỪNG XÃTHUỘC HUYỆN NĂM 2024</t>
  </si>
  <si>
    <t>QUYẾT TOÁN THU NGÂN SÁCH  XÃ NĂM 2024</t>
  </si>
  <si>
    <t>NGOÀI NGÂN SÁCH DO ĐỊA PHƯƠNG QUẢN LÝ NĂM 2024</t>
  </si>
  <si>
    <r>
      <t>Dư nguồn đến ngày 31/12/2023</t>
    </r>
    <r>
      <rPr>
        <sz val="14"/>
        <rFont val="Times New Roman"/>
        <family val="1"/>
      </rPr>
      <t>(năm trước)</t>
    </r>
  </si>
  <si>
    <t>Kế hoạch năm 2024</t>
  </si>
  <si>
    <t>Thực hiện năm 2024</t>
  </si>
  <si>
    <t>Dư nguồn đến ngày 31/12/2024</t>
  </si>
  <si>
    <t>QUYẾT TOÁN CHI THƯỜNG XUYÊN CỦA NGÂN SÁCH CẤP HUYỆN CHO TỪNG CƠ QUAN, TỔ CHỨC THEO LĨNH VỰC NĂM 2024</t>
  </si>
  <si>
    <t>(Kèm theo Nghị quyết số     /NQ-HĐND ngày     tháng    năm 2025 của 
Hội đồng nhân dân huyện Ia H'Drai)</t>
  </si>
  <si>
    <t>VÀ CHI NGÂN SÁCH XÃ THEO CƠ CẤU CHI NĂM 2024</t>
  </si>
  <si>
    <t>QUYẾT TOÁN CHI NGÂN SÁCH CẤP HUYỆN CHO TỪNG CƠ QUAN, TỔ CHỨC THEO LĨNH VỰC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</si>
</sst>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8">
    <numFmt numFmtId="5" formatCode="#,##0\ &quot;₫&quot;;\-#,##0\ &quot;₫&quot;"/>
    <numFmt numFmtId="7" formatCode="#,##0.00\ &quot;₫&quot;;\-#,##0.00\ &quot;₫&quot;"/>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quot;£&quot;#,##0"/>
    <numFmt numFmtId="172" formatCode="&quot;£&quot;#,##0;[Red]\-&quot;£&quot;#,##0"/>
    <numFmt numFmtId="173" formatCode="_-&quot;£&quot;* #,##0_-;\-&quot;£&quot;* #,##0_-;_-&quot;£&quot;* &quot;-&quot;_-;_-@_-"/>
    <numFmt numFmtId="174" formatCode="_-* #,##0_-;\-* #,##0_-;_-* &quot;-&quot;_-;_-@_-"/>
    <numFmt numFmtId="175" formatCode="_-&quot;£&quot;* #,##0.00_-;\-&quot;£&quot;* #,##0.00_-;_-&quot;£&quot;* &quot;-&quot;??_-;_-@_-"/>
    <numFmt numFmtId="176" formatCode="_-* #,##0.00_-;\-* #,##0.00_-;_-* &quot;-&quot;??_-;_-@_-"/>
    <numFmt numFmtId="177" formatCode="_-&quot;$&quot;* #,##0_-;\-&quot;$&quot;* #,##0_-;_-&quot;$&quot;* &quot;-&quot;_-;_-@_-"/>
    <numFmt numFmtId="178" formatCode="_-&quot;$&quot;* #,##0.00_-;\-&quot;$&quot;* #,##0.00_-;_-&quot;$&quot;* &quot;-&quot;??_-;_-@_-"/>
    <numFmt numFmtId="179" formatCode="_(* #,##0_);_(* \(#,##0\);_(* &quot;-&quot;??_);_(@_)"/>
    <numFmt numFmtId="180" formatCode="&quot;\&quot;#,##0;[Red]&quot;\&quot;\-#,##0"/>
    <numFmt numFmtId="181" formatCode="&quot;\&quot;#,##0.00;[Red]&quot;\&quot;\-#,##0.00"/>
    <numFmt numFmtId="182" formatCode="\$#,##0\ ;\(\$#,##0\)"/>
    <numFmt numFmtId="183" formatCode="&quot;VND&quot;#,##0_);[Red]\(&quot;VND&quot;#,##0\)"/>
    <numFmt numFmtId="184" formatCode="_ * #,##0_ ;_ * \-#,##0_ ;_ * &quot;-&quot;_ ;_ @_ "/>
    <numFmt numFmtId="185" formatCode="_-* #,##0\ _F_-;\-* #,##0\ _F_-;_-* &quot;-&quot;\ _F_-;_-@_-"/>
    <numFmt numFmtId="186" formatCode="_(* #,##0.0000_);_(* \(#,##0.0000\);_(* &quot;-&quot;??_);_(@_)"/>
    <numFmt numFmtId="187" formatCode="\t0.00%"/>
    <numFmt numFmtId="188" formatCode="\t#\ ??/??"/>
    <numFmt numFmtId="189" formatCode="#,##0;\(#,##0\)"/>
    <numFmt numFmtId="190" formatCode="#,##0\ &quot;F&quot;;\-#,##0\ &quot;F&quot;"/>
    <numFmt numFmtId="191" formatCode="#,##0\ &quot;F&quot;;[Red]\-#,##0\ &quot;F&quot;"/>
    <numFmt numFmtId="192" formatCode="#,##0.00\ &quot;F&quot;;\-#,##0.00\ &quot;F&quot;"/>
    <numFmt numFmtId="193" formatCode="#,##0.00\ &quot;F&quot;;[Red]\-#,##0.00\ &quot;F&quot;"/>
    <numFmt numFmtId="194" formatCode="_-* #,##0\ &quot;F&quot;_-;\-* #,##0\ &quot;F&quot;_-;_-* &quot;-&quot;\ &quot;F&quot;_-;_-@_-"/>
    <numFmt numFmtId="195" formatCode="_-* #,##0\ &quot;DM&quot;_-;\-* #,##0\ &quot;DM&quot;_-;_-* &quot;-&quot;\ &quot;DM&quot;_-;_-@_-"/>
    <numFmt numFmtId="196" formatCode="_-* #,##0.00\ &quot;DM&quot;_-;\-* #,##0.00\ &quot;DM&quot;_-;_-* &quot;-&quot;??\ &quot;DM&quot;_-;_-@_-"/>
    <numFmt numFmtId="197" formatCode="#,##0\ &quot;$&quot;_);[Red]\(#,##0\ &quot;$&quot;\)"/>
    <numFmt numFmtId="198" formatCode="#,###"/>
    <numFmt numFmtId="199" formatCode="#,##0.0_);\(#,##0.0\)"/>
    <numFmt numFmtId="200" formatCode="0.0%;[Red]\(0.0%\)"/>
    <numFmt numFmtId="201" formatCode="_ * #,##0.00_)&quot;£&quot;_ ;_ * \(#,##0.00\)&quot;£&quot;_ ;_ * &quot;-&quot;??_)&quot;£&quot;_ ;_ @_ "/>
    <numFmt numFmtId="202" formatCode="0.0%;\(0.0%\)"/>
    <numFmt numFmtId="203" formatCode="#,##0.000_);\(#,##0.000\)"/>
    <numFmt numFmtId="204" formatCode="_ &quot;\&quot;* #,##0_ ;_ &quot;\&quot;* \-#,##0_ ;_ &quot;\&quot;* &quot;-&quot;_ ;_ @_ "/>
    <numFmt numFmtId="205" formatCode="_ * #,##0.00_ ;_ * \-#,##0.00_ ;_ * &quot;-&quot;??_ ;_ @_ "/>
    <numFmt numFmtId="206" formatCode="&quot;\&quot;#,##0;[Red]\-&quot;\&quot;#,##0"/>
    <numFmt numFmtId="207" formatCode="_-[$€]* #,##0.00_-;\-[$€]* #,##0.00_-;_-[$€]* &quot;-&quot;??_-;_-@_-"/>
    <numFmt numFmtId="208" formatCode="\U\S\$#,##0.00;\(\U\S\$#,##0.00\)"/>
    <numFmt numFmtId="209" formatCode="#,##0;[Red]\-#,##0;&quot;&quot;;_-@"/>
    <numFmt numFmtId="210" formatCode="###,###,###"/>
    <numFmt numFmtId="211" formatCode="#,##0.0"/>
    <numFmt numFmtId="212" formatCode="_(* #,##0.000_);_(* \(#,##0.000\);_(* &quot;-&quot;??_);_(@_)"/>
    <numFmt numFmtId="213" formatCode="_-* #,##0_-;\-* #,##0_-;_-* &quot;-&quot;??_-;_-@_-"/>
    <numFmt numFmtId="214" formatCode="#,##0.000"/>
    <numFmt numFmtId="215" formatCode="#,##0.0000"/>
    <numFmt numFmtId="216" formatCode="_(* #,##0.0_);_(* \(#,##0.0\);_(* &quot;-&quot;??_);_(@_)"/>
    <numFmt numFmtId="217" formatCode="_-* #,##0\ _₫_-;\-* #,##0\ _₫_-;_-* &quot;-&quot;??\ _₫_-;_-@_-"/>
    <numFmt numFmtId="218" formatCode="&quot;$&quot;#,##0;\-&quot;$&quot;#,##0"/>
    <numFmt numFmtId="219" formatCode="#,###;\-#,###;&quot;&quot;;_(@_)"/>
    <numFmt numFmtId="220" formatCode="_(* #,##0_);_(* \(#,##0\);_(* \-??_);_(@_)"/>
    <numFmt numFmtId="221" formatCode="&quot;€&quot;###,0&quot;.&quot;00_);\(&quot;€&quot;###,0&quot;.&quot;00\)"/>
    <numFmt numFmtId="222" formatCode="#.##00"/>
    <numFmt numFmtId="223" formatCode="_-* #,##0&quot;$&quot;_-;_-* #,##0&quot;$&quot;\-;_-* &quot;-&quot;&quot;$&quot;_-;_-@_-"/>
    <numFmt numFmtId="224" formatCode="_-* #,##0\ &quot;$&quot;_-;\-* #,##0\ &quot;$&quot;_-;_-* &quot;-&quot;\ &quot;$&quot;_-;_-@_-"/>
    <numFmt numFmtId="225" formatCode="_-&quot;ñ&quot;* #,##0_-;\-&quot;ñ&quot;* #,##0_-;_-&quot;ñ&quot;* &quot;-&quot;_-;_-@_-"/>
    <numFmt numFmtId="226" formatCode="0.0000"/>
    <numFmt numFmtId="227" formatCode="_-&quot;€&quot;* #,##0_-;\-&quot;€&quot;* #,##0_-;_-&quot;€&quot;* &quot;-&quot;_-;_-@_-"/>
    <numFmt numFmtId="228" formatCode="_-* ###,0&quot;.&quot;00_-;\-* ###,0&quot;.&quot;00_-;_-* &quot;-&quot;??_-;_-@_-"/>
    <numFmt numFmtId="229" formatCode="_-* #,##0.00\ _F_-;\-* #,##0.00\ _F_-;_-* &quot;-&quot;??\ _F_-;_-@_-"/>
    <numFmt numFmtId="230" formatCode="_-* #,##0.00\ _V_N_D_-;\-* #,##0.00\ _V_N_D_-;_-* &quot;-&quot;??\ _V_N_D_-;_-@_-"/>
    <numFmt numFmtId="231" formatCode="_-* #,##0.00\ _V_N_Ñ_-;_-* #,##0.00\ _V_N_Ñ\-;_-* &quot;-&quot;??\ _V_N_Ñ_-;_-@_-"/>
    <numFmt numFmtId="232" formatCode="_-* #,##0.00\ _€_-;\-* #,##0.00\ _€_-;_-* &quot;-&quot;??\ _€_-;_-@_-"/>
    <numFmt numFmtId="233" formatCode="_-* #,##0.00_$_-;_-* #,##0.00_$\-;_-* &quot;-&quot;??_$_-;_-@_-"/>
    <numFmt numFmtId="234" formatCode="_(* ###,0&quot;.&quot;00_);_(* \(###,0&quot;.&quot;00\);_(* &quot;-&quot;??_);_(@_)"/>
    <numFmt numFmtId="235" formatCode="_-* #,##0.00\ _ñ_-;\-* #,##0.00\ _ñ_-;_-* &quot;-&quot;??\ _ñ_-;_-@_-"/>
    <numFmt numFmtId="236" formatCode="0.00000"/>
    <numFmt numFmtId="237" formatCode="_(&quot;£&quot;\ * #,##0_);_(&quot;£&quot;\ * \(#,##0\);_(&quot;£&quot;\ * &quot;-&quot;_);_(@_)"/>
    <numFmt numFmtId="238" formatCode="&quot;$&quot;#,##0;[Red]\-&quot;$&quot;#,##0"/>
    <numFmt numFmtId="239" formatCode="_(&quot;$&quot;\ * #,##0_);_(&quot;$&quot;\ * \(#,##0\);_(&quot;$&quot;\ * &quot;-&quot;_);_(@_)"/>
    <numFmt numFmtId="240" formatCode="&quot;$&quot;#,##0.00;[Red]\-&quot;$&quot;#,##0.00"/>
    <numFmt numFmtId="241" formatCode="_-* #,##0\ &quot;ñ&quot;_-;\-* #,##0\ &quot;ñ&quot;_-;_-* &quot;-&quot;\ &quot;ñ&quot;_-;_-@_-"/>
    <numFmt numFmtId="242" formatCode="0.0000000"/>
    <numFmt numFmtId="243" formatCode="_(&quot;€&quot;* #,##0_);_(&quot;€&quot;* \(#,##0\);_(&quot;€&quot;* &quot;-&quot;_);_(@_)"/>
    <numFmt numFmtId="244" formatCode="_-* #,##0\ _V_N_D_-;\-* #,##0\ _V_N_D_-;_-* &quot;-&quot;\ _V_N_D_-;_-@_-"/>
    <numFmt numFmtId="245" formatCode="_-* #,##0\ _V_N_Ñ_-;_-* #,##0\ _V_N_Ñ\-;_-* &quot;-&quot;\ _V_N_Ñ_-;_-@_-"/>
    <numFmt numFmtId="246" formatCode="_-* #,##0\ _€_-;\-* #,##0\ _€_-;_-* &quot;-&quot;\ _€_-;_-@_-"/>
    <numFmt numFmtId="247" formatCode="_-* #,##0_$_-;_-* #,##0_$\-;_-* &quot;-&quot;_$_-;_-@_-"/>
    <numFmt numFmtId="248" formatCode="_-* #,##0\ _$_-;\-* #,##0\ _$_-;_-* &quot;-&quot;\ _$_-;_-@_-"/>
    <numFmt numFmtId="249" formatCode="_-* #,##0\ _m_k_-;\-* #,##0\ _m_k_-;_-* &quot;-&quot;\ _m_k_-;_-@_-"/>
    <numFmt numFmtId="250" formatCode="_-* #,##0\ _ñ_-;\-* #,##0\ _ñ_-;_-* &quot;-&quot;\ _ñ_-;_-@_-"/>
    <numFmt numFmtId="251" formatCode="0.000000"/>
    <numFmt numFmtId="252" formatCode="#,##0.0_);[Red]\(#,##0.0\)"/>
    <numFmt numFmtId="253" formatCode="&quot;SFr.&quot;\ #,##0.00;[Red]&quot;SFr.&quot;\ \-#,##0.00"/>
    <numFmt numFmtId="254" formatCode="&quot;SFr.&quot;\ #,##0.00;&quot;SFr.&quot;\ \-#,##0.00"/>
    <numFmt numFmtId="255" formatCode="_ &quot;SFr.&quot;\ * #,##0_ ;_ &quot;SFr.&quot;\ * \-#,##0_ ;_ &quot;SFr.&quot;\ * &quot;-&quot;_ ;_ @_ "/>
    <numFmt numFmtId="256" formatCode="_-* #,##0.00\ &quot;F&quot;_-;\-* #,##0.00\ &quot;F&quot;_-;_-* &quot;-&quot;??\ &quot;F&quot;_-;_-@_-"/>
    <numFmt numFmtId="257" formatCode="0.000_)"/>
    <numFmt numFmtId="258" formatCode="_(* #,##0_);_(* \(#,##0\);_(* \-_);_(@_)"/>
    <numFmt numFmtId="259" formatCode="_-* #,##0_$_-;\-* #,##0_$_-;_-* &quot;-&quot;_$_-;_-@_-"/>
    <numFmt numFmtId="260" formatCode="_-* #,##0.000_-;\-* #,##0.000_-;_-* &quot;-&quot;??_-;_-@_-"/>
    <numFmt numFmtId="261" formatCode="_-* #,##0.0_-;\-* #,##0.0_-;_-* &quot;-&quot;??_-;_-@_-"/>
    <numFmt numFmtId="262" formatCode="_(* #,##0.0_);_(* \(#,##0.0\);_(* \-??_);_(@_)"/>
    <numFmt numFmtId="263" formatCode="_(* #,##0.00_);_(* \(#,##0.00\);_(* \-??_);_(@_)"/>
    <numFmt numFmtId="264" formatCode="#,##0.00;[Red]#,##0.00"/>
    <numFmt numFmtId="265" formatCode="#,##0\ &quot;þ&quot;;[Red]\-#,##0\ &quot;þ&quot;"/>
    <numFmt numFmtId="266" formatCode="_ &quot;R&quot;\ * #,##0_ ;_ &quot;R&quot;\ * \-#,##0_ ;_ &quot;R&quot;\ * &quot;-&quot;_ ;_ @_ "/>
    <numFmt numFmtId="267" formatCode="_-* #,##0.0000\ _F_-;\-* #,##0.0000\ _F_-;_-* &quot;-&quot;??\ _F_-;_-@_-"/>
    <numFmt numFmtId="268" formatCode="0.000"/>
    <numFmt numFmtId="269" formatCode="?\,???.??__;[Red]&quot;- &quot;?\,???.??__"/>
    <numFmt numFmtId="270" formatCode="?,???.??__;[Red]\-\ ?,???.??__;"/>
    <numFmt numFmtId="271" formatCode="_(\§\g\ #,##0_);_(\§\g\ \(#,##0\);_(\§\g\ &quot;-&quot;??_);_(@_)"/>
    <numFmt numFmtId="272" formatCode="_(\§\g\ #,##0_);_(\§\g\ \(#,##0\);_(\§\g\ &quot;-&quot;_);_(@_)"/>
    <numFmt numFmtId="273" formatCode="\§\g#,##0_);\(\§\g#,##0\)"/>
    <numFmt numFmtId="274" formatCode="_-&quot;VND&quot;* #,##0_-;\-&quot;VND&quot;* #,##0_-;_-&quot;VND&quot;* &quot;-&quot;_-;_-@_-"/>
    <numFmt numFmtId="275" formatCode="_(&quot;Rp&quot;* #,##0.00_);_(&quot;Rp&quot;* \(#,##0.00\);_(&quot;Rp&quot;* &quot;-&quot;??_);_(@_)"/>
    <numFmt numFmtId="276" formatCode="#,##0.00\ &quot;FB&quot;;[Red]\-#,##0.00\ &quot;FB&quot;"/>
    <numFmt numFmtId="277" formatCode="#,##0\ &quot;$&quot;;\-#,##0\ &quot;$&quot;"/>
    <numFmt numFmtId="278" formatCode="_-* #,##0\ _F_B_-;\-* #,##0\ _F_B_-;_-* &quot;-&quot;\ _F_B_-;_-@_-"/>
    <numFmt numFmtId="279" formatCode="&quot;öS&quot;\ #,##0;[Red]\-&quot;öS&quot;\ #,##0"/>
    <numFmt numFmtId="280" formatCode="&quot;Q&quot;#,##0_);\(&quot;Q&quot;#,##0\)"/>
    <numFmt numFmtId="281" formatCode="#,##0_);\-#,##0_)"/>
    <numFmt numFmtId="282" formatCode="#,##0\ &quot;$&quot;_);\(#,##0\ &quot;$&quot;\)"/>
    <numFmt numFmtId="283" formatCode="&quot;\&quot;#,##0.00;\-&quot;\&quot;#,##0.00"/>
    <numFmt numFmtId="284" formatCode="_ * #,##0_)\ &quot;$&quot;_ ;_ * \(#,##0\)\ &quot;$&quot;_ ;_ * &quot;-&quot;_)\ &quot;$&quot;_ ;_ @_ "/>
    <numFmt numFmtId="285" formatCode="_ * #,##0_)&quot; $&quot;_ ;_ * \(#,##0&quot;) $&quot;_ ;_ * \-_)&quot; $&quot;_ ;_ @_ "/>
    <numFmt numFmtId="286" formatCode="#,##0.00_);\-#,##0.00_)"/>
    <numFmt numFmtId="287" formatCode="#"/>
    <numFmt numFmtId="288" formatCode="&quot;¡Ì&quot;#,##0;[Red]\-&quot;¡Ì&quot;#,##0"/>
    <numFmt numFmtId="289" formatCode="#,##0.00&quot; F&quot;;[Red]\-#,##0.00&quot; F&quot;"/>
    <numFmt numFmtId="290" formatCode="_-* #,##0.0\ _F_-;\-* #,##0.0\ _F_-;_-* &quot;-&quot;??\ _F_-;_-@_-"/>
    <numFmt numFmtId="291" formatCode="#,##0.00\ \ "/>
    <numFmt numFmtId="292" formatCode="0.00000000"/>
    <numFmt numFmtId="293" formatCode="_ * #,##0.0_ ;_ * \-#,##0.0_ ;_ * &quot;-&quot;??_ ;_ @_ "/>
    <numFmt numFmtId="294" formatCode="#,##0.00\ \ \ \ "/>
    <numFmt numFmtId="295" formatCode="_(* #.##0.00_);_(* \(#.##0.00\);_(* &quot;-&quot;??_);_(@_)"/>
    <numFmt numFmtId="296" formatCode="###\ ###\ ##0"/>
    <numFmt numFmtId="297" formatCode="&quot;\&quot;#,##0;&quot;\&quot;\-#,##0"/>
    <numFmt numFmtId="298" formatCode="_-* ###,0&quot;.&quot;00\ _F_B_-;\-* ###,0&quot;.&quot;00\ _F_B_-;_-* &quot;-&quot;??\ _F_B_-;_-@_-"/>
    <numFmt numFmtId="299" formatCode="\\#,##0;[Red]&quot;-\&quot;#,##0"/>
    <numFmt numFmtId="300" formatCode="_ * #.##._ ;_ * \-#.##._ ;_ * &quot;-&quot;??_ ;_ @_ⴆ"/>
    <numFmt numFmtId="301" formatCode="_-* #,##0\ _F_-;\-* #,##0\ _F_-;_-* &quot;-&quot;??\ _F_-;_-@_-"/>
    <numFmt numFmtId="302" formatCode="#.00\ ##0"/>
    <numFmt numFmtId="303" formatCode="#.\ ##0"/>
    <numFmt numFmtId="304" formatCode="_-* #,##0.0000\ _₫_-;\-* #,##0.0000\ _₫_-;_-* &quot;-&quot;??\ _₫_-;_-@_-"/>
    <numFmt numFmtId="305" formatCode="#,##0.00000000"/>
    <numFmt numFmtId="306" formatCode="_-* #,##0\ _₫_-;\-* #,##0\ _₫_-;_-* &quot;-&quot;??\ _₫_-;_-@"/>
  </numFmts>
  <fonts count="321">
    <font>
      <sz val="10"/>
      <name val="Arial"/>
    </font>
    <font>
      <sz val="10"/>
      <name val="Arial"/>
    </font>
    <font>
      <b/>
      <sz val="12"/>
      <name val="Arial"/>
      <family val="2"/>
    </font>
    <font>
      <sz val="12"/>
      <name val="Arial"/>
      <family val="2"/>
    </font>
    <font>
      <sz val="14"/>
      <name val="뼻뮝"/>
      <family val="3"/>
    </font>
    <font>
      <sz val="12"/>
      <name val="뼻뮝"/>
      <family val="3"/>
    </font>
    <font>
      <sz val="12"/>
      <name val="Courier"/>
      <family val="3"/>
    </font>
    <font>
      <sz val="10"/>
      <name val="Arial"/>
      <family val="2"/>
    </font>
    <font>
      <sz val="10"/>
      <name val=" "/>
      <family val="1"/>
      <charset val="136"/>
    </font>
    <font>
      <sz val="12"/>
      <name val="Times New Roman"/>
      <family val="1"/>
    </font>
    <font>
      <sz val="10"/>
      <name val=".VnTime"/>
      <family val="2"/>
    </font>
    <font>
      <b/>
      <sz val="14"/>
      <name val=".VnTimeH"/>
      <family val="2"/>
    </font>
    <font>
      <sz val="12"/>
      <name val=".VnTime"/>
      <family val="2"/>
    </font>
    <font>
      <b/>
      <sz val="12"/>
      <name val=".VnTime"/>
      <family val="2"/>
    </font>
    <font>
      <b/>
      <sz val="10"/>
      <name val=".VnTime"/>
      <family val="2"/>
    </font>
    <font>
      <sz val="12"/>
      <name val="¹UAAA¼"/>
      <family val="3"/>
      <charset val="129"/>
    </font>
    <font>
      <b/>
      <sz val="18"/>
      <name val="Arial"/>
      <family val="2"/>
    </font>
    <font>
      <sz val="10"/>
      <name val="VNtimes new roman"/>
      <family val="2"/>
    </font>
    <font>
      <sz val="9"/>
      <name val=".VnTime"/>
      <family val="2"/>
    </font>
    <font>
      <sz val="8"/>
      <name val="Arial"/>
      <family val="2"/>
    </font>
    <font>
      <sz val="12"/>
      <name val="VNtimes new roman"/>
      <family val="2"/>
    </font>
    <font>
      <sz val="12"/>
      <name val="???"/>
      <family val="1"/>
      <charset val="129"/>
    </font>
    <font>
      <sz val="9"/>
      <name val="Arial"/>
      <family val="2"/>
    </font>
    <font>
      <b/>
      <sz val="10"/>
      <name val=".VnTimeH"/>
      <family val="2"/>
    </font>
    <font>
      <b/>
      <u/>
      <sz val="14"/>
      <color indexed="8"/>
      <name val=".VnBook-AntiquaH"/>
      <family val="2"/>
    </font>
    <font>
      <sz val="10"/>
      <name val="VnTimes"/>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0"/>
      <name val="Helv"/>
    </font>
    <font>
      <b/>
      <sz val="10"/>
      <name val="Helv"/>
    </font>
    <font>
      <sz val="10"/>
      <name val="VNI-Aptima"/>
    </font>
    <font>
      <sz val="13"/>
      <name val=".VnTime"/>
      <family val="2"/>
    </font>
    <font>
      <sz val="10"/>
      <name val="Times New Roman"/>
      <family val="1"/>
    </font>
    <font>
      <sz val="10"/>
      <color indexed="8"/>
      <name val="Arial"/>
      <family val="2"/>
    </font>
    <font>
      <b/>
      <sz val="12"/>
      <name val=".VnBook-AntiquaH"/>
      <family val="2"/>
    </font>
    <font>
      <b/>
      <sz val="12"/>
      <name val="Helv"/>
    </font>
    <font>
      <b/>
      <sz val="18"/>
      <name val="Arial"/>
      <family val="2"/>
    </font>
    <font>
      <b/>
      <sz val="12"/>
      <name val="Arial"/>
      <family val="2"/>
    </font>
    <font>
      <sz val="8"/>
      <color indexed="12"/>
      <name val="Helv"/>
    </font>
    <font>
      <sz val="10"/>
      <name val="MS Sans Serif"/>
      <family val="2"/>
    </font>
    <font>
      <sz val="10"/>
      <name val="MS Sans Serif"/>
      <family val="2"/>
    </font>
    <font>
      <b/>
      <sz val="11"/>
      <name val="Helv"/>
    </font>
    <font>
      <sz val="10"/>
      <name val=".VnAvant"/>
      <family val="2"/>
    </font>
    <font>
      <sz val="10"/>
      <name val="VNbook-Antiqua"/>
    </font>
    <font>
      <sz val="7"/>
      <name val="Small Fonts"/>
      <family val="2"/>
    </font>
    <font>
      <b/>
      <sz val="12"/>
      <name val="VN-NTime"/>
    </font>
    <font>
      <sz val="12"/>
      <name val="바탕체"/>
      <family val="1"/>
      <charset val="129"/>
    </font>
    <font>
      <b/>
      <sz val="11"/>
      <name val="Arial"/>
      <family val="2"/>
    </font>
    <font>
      <sz val="10"/>
      <name val="Times New Roman"/>
      <family val="1"/>
    </font>
    <font>
      <sz val="12"/>
      <color indexed="8"/>
      <name val="Times New Roman"/>
      <family val="1"/>
    </font>
    <font>
      <sz val="12"/>
      <name val="Helv"/>
      <family val="2"/>
    </font>
    <font>
      <b/>
      <sz val="10"/>
      <name val="MS Sans Serif"/>
      <family val="2"/>
    </font>
    <font>
      <sz val="12"/>
      <name val="VNI-Times"/>
    </font>
    <font>
      <sz val="13"/>
      <name val=".VnTime"/>
      <family val="2"/>
    </font>
    <font>
      <sz val="12"/>
      <name val=".VnTime"/>
      <family val="2"/>
    </font>
    <font>
      <sz val="12"/>
      <name val="VNTime"/>
    </font>
    <font>
      <b/>
      <sz val="8"/>
      <name val="VN Helvetica"/>
    </font>
    <font>
      <b/>
      <sz val="10"/>
      <name val="VN AvantGBook"/>
    </font>
    <font>
      <b/>
      <sz val="16"/>
      <name val=".VnTime"/>
      <family val="2"/>
    </font>
    <font>
      <sz val="14"/>
      <name val=".VnArial"/>
      <family val="2"/>
    </font>
    <font>
      <sz val="16"/>
      <name val="AngsanaUPC"/>
      <family val="3"/>
    </font>
    <font>
      <sz val="10"/>
      <name val="Helv"/>
      <family val="2"/>
    </font>
    <font>
      <sz val="12"/>
      <name val="바탕체"/>
      <family val="1"/>
    </font>
    <font>
      <b/>
      <sz val="10"/>
      <name val="Arial"/>
      <family val="2"/>
    </font>
    <font>
      <i/>
      <sz val="10"/>
      <name val="Arial"/>
      <family val="2"/>
    </font>
    <font>
      <sz val="11"/>
      <name val=".VnArial Narrow"/>
      <family val="2"/>
    </font>
    <font>
      <sz val="12"/>
      <color indexed="8"/>
      <name val=".VnTime"/>
      <family val="2"/>
    </font>
    <font>
      <sz val="12"/>
      <name val=".VnArial Narrow"/>
      <family val="2"/>
    </font>
    <font>
      <b/>
      <sz val="12"/>
      <name val="Times New Roman"/>
      <family val="1"/>
    </font>
    <font>
      <b/>
      <u/>
      <sz val="12"/>
      <name val="Times New Roman"/>
      <family val="1"/>
    </font>
    <font>
      <b/>
      <sz val="14"/>
      <color indexed="12"/>
      <name val="Times New Roman"/>
      <family val="1"/>
    </font>
    <font>
      <b/>
      <sz val="14"/>
      <name val="Times New Roman"/>
      <family val="1"/>
    </font>
    <font>
      <b/>
      <sz val="11"/>
      <name val="Times New Roman"/>
      <family val="1"/>
    </font>
    <font>
      <sz val="14"/>
      <name val="Times New Roman"/>
      <family val="1"/>
    </font>
    <font>
      <sz val="11"/>
      <color indexed="8"/>
      <name val="Calibri"/>
      <family val="2"/>
    </font>
    <font>
      <i/>
      <sz val="12"/>
      <name val="Times New Roman"/>
      <family val="1"/>
    </font>
    <font>
      <b/>
      <i/>
      <sz val="12"/>
      <name val="Times New Roman"/>
      <family val="1"/>
    </font>
    <font>
      <sz val="11"/>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
      <color indexed="8"/>
      <name val="Times New Roman"/>
      <family val="1"/>
    </font>
    <font>
      <sz val="9"/>
      <name val="Arial MT"/>
    </font>
    <font>
      <sz val="11"/>
      <name val=".VnTime"/>
      <family val="2"/>
    </font>
    <font>
      <sz val="11"/>
      <color indexed="8"/>
      <name val="Arial Narrow"/>
      <family val="2"/>
    </font>
    <font>
      <sz val="14"/>
      <name val=".VnTime"/>
      <family val="2"/>
    </font>
    <font>
      <sz val="12"/>
      <name val="돋움체"/>
      <family val="3"/>
      <charset val="129"/>
    </font>
    <font>
      <sz val="12"/>
      <name val="Arial Narrow"/>
      <family val="2"/>
    </font>
    <font>
      <sz val="12"/>
      <name val=".VnArial"/>
      <family val="2"/>
    </font>
    <font>
      <sz val="10"/>
      <name val="??"/>
      <family val="3"/>
      <charset val="129"/>
    </font>
    <font>
      <sz val="12"/>
      <name val="????"/>
      <family val="1"/>
      <charset val="136"/>
    </font>
    <font>
      <sz val="10"/>
      <name val="AngsanaUPC"/>
      <family val="1"/>
    </font>
    <font>
      <sz val="12"/>
      <name val="|??¢¥¢¬¨Ï"/>
      <family val="1"/>
      <charset val="129"/>
    </font>
    <font>
      <sz val="10"/>
      <name val="VNI-Times"/>
    </font>
    <font>
      <sz val="10"/>
      <name val="VNI-Helve"/>
    </font>
    <font>
      <sz val="12"/>
      <name val="???"/>
    </font>
    <font>
      <sz val="11"/>
      <name val="‚l‚r ‚oƒSƒVƒbƒN"/>
      <family val="3"/>
      <charset val="128"/>
    </font>
    <font>
      <sz val="11"/>
      <name val="–¾’©"/>
      <family val="1"/>
      <charset val="128"/>
    </font>
    <font>
      <sz val="14"/>
      <name val="Terminal"/>
      <family val="3"/>
      <charset val="128"/>
    </font>
    <font>
      <sz val="14"/>
      <name val="VnTime"/>
    </font>
    <font>
      <b/>
      <u/>
      <sz val="10"/>
      <name val="VNI-Times"/>
    </font>
    <font>
      <b/>
      <sz val="10"/>
      <name val=".VnArial"/>
      <family val="2"/>
    </font>
    <font>
      <sz val="12"/>
      <color indexed="10"/>
      <name val=".VnArial Narrow"/>
      <family val="2"/>
    </font>
    <font>
      <sz val="12"/>
      <color indexed="8"/>
      <name val="¹ÙÅÁÃ¼"/>
      <family val="1"/>
      <charset val="129"/>
    </font>
    <font>
      <sz val="12"/>
      <color indexed="8"/>
      <name val="Arial Narrow"/>
      <family val="2"/>
    </font>
    <font>
      <sz val="14"/>
      <name val=".VnTimeH"/>
      <family val="2"/>
    </font>
    <font>
      <sz val="12"/>
      <color indexed="9"/>
      <name val="Arial Narrow"/>
      <family val="2"/>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b/>
      <sz val="12"/>
      <color indexed="52"/>
      <name val="Arial Narrow"/>
      <family val="2"/>
    </font>
    <font>
      <b/>
      <sz val="12"/>
      <color indexed="9"/>
      <name val="Arial Narrow"/>
      <family val="2"/>
    </font>
    <font>
      <sz val="10"/>
      <name val=".VnArial"/>
      <family val="2"/>
    </font>
    <font>
      <sz val="11"/>
      <name val="VNbook-Antiqua"/>
      <family val="2"/>
    </font>
    <font>
      <sz val="10"/>
      <name val="Arial"/>
      <family val="2"/>
      <charset val="163"/>
    </font>
    <font>
      <sz val="11"/>
      <name val="VNtimes new roman"/>
      <family val="2"/>
    </font>
    <font>
      <sz val="11"/>
      <name val="Tms Rmn"/>
    </font>
    <font>
      <sz val="11"/>
      <color indexed="8"/>
      <name val="Calibri"/>
      <family val="2"/>
      <charset val="163"/>
    </font>
    <font>
      <sz val="10"/>
      <name val="BERNHARD"/>
    </font>
    <font>
      <b/>
      <sz val="12"/>
      <name val="VNTime"/>
      <family val="2"/>
    </font>
    <font>
      <sz val="10"/>
      <name val="MS Serif"/>
      <family val="1"/>
    </font>
    <font>
      <sz val="11"/>
      <color indexed="62"/>
      <name val="Calibri"/>
      <family val="2"/>
    </font>
    <font>
      <b/>
      <sz val="12"/>
      <name val="VNTimeH"/>
      <family val="2"/>
    </font>
    <font>
      <b/>
      <sz val="15"/>
      <color indexed="56"/>
      <name val="Calibri"/>
      <family val="2"/>
    </font>
    <font>
      <b/>
      <sz val="13"/>
      <color indexed="56"/>
      <name val="Calibri"/>
      <family val="2"/>
    </font>
    <font>
      <sz val="1"/>
      <color indexed="8"/>
      <name val="Courier"/>
      <family val="1"/>
    </font>
    <font>
      <sz val="10"/>
      <name val="Arial CE"/>
      <charset val="238"/>
    </font>
    <font>
      <b/>
      <sz val="1"/>
      <color indexed="8"/>
      <name val="Courier"/>
      <family val="1"/>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10"/>
      <name val=".VnArialH"/>
      <family val="2"/>
    </font>
    <font>
      <b/>
      <sz val="12"/>
      <color indexed="9"/>
      <name val="Tms Rmn"/>
    </font>
    <font>
      <b/>
      <sz val="11"/>
      <color indexed="56"/>
      <name val="Arial Narrow"/>
      <family val="2"/>
    </font>
    <font>
      <b/>
      <sz val="8"/>
      <name val="MS Sans Serif"/>
      <family val="2"/>
    </font>
    <font>
      <sz val="10"/>
      <name val="vnTimesRoman"/>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color indexed="52"/>
      <name val="Arial Narrow"/>
      <family val="2"/>
    </font>
    <font>
      <i/>
      <sz val="10"/>
      <name val=".VnTime"/>
      <family val="2"/>
    </font>
    <font>
      <sz val="8"/>
      <name val="VNarial"/>
      <family val="2"/>
    </font>
    <font>
      <sz val="12"/>
      <color indexed="60"/>
      <name val="Arial Narrow"/>
      <family val="2"/>
    </font>
    <font>
      <sz val="14"/>
      <name val="Times New Roman"/>
      <family val="1"/>
      <charset val="163"/>
    </font>
    <font>
      <sz val="11"/>
      <color indexed="8"/>
      <name val="Helvetica Neue"/>
    </font>
    <font>
      <sz val="10"/>
      <name val="VNlucida sans"/>
      <family val="2"/>
    </font>
    <font>
      <sz val="11"/>
      <name val="VNI-Aptima"/>
    </font>
    <font>
      <b/>
      <sz val="12"/>
      <color indexed="63"/>
      <name val="Arial Narrow"/>
      <family val="2"/>
    </font>
    <font>
      <sz val="14"/>
      <name val=".VnArial Narrow"/>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1"/>
      <color indexed="8"/>
      <name val="Calibri"/>
      <family val="2"/>
    </font>
    <font>
      <b/>
      <sz val="11"/>
      <name val=".VnTime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sz val="12"/>
      <color indexed="10"/>
      <name val="Arial Narrow"/>
      <family val="2"/>
    </font>
    <font>
      <sz val="10"/>
      <name val="Geneva"/>
      <family val="2"/>
    </font>
    <font>
      <sz val="12"/>
      <color indexed="8"/>
      <name val="바탕체"/>
      <family val="3"/>
    </font>
    <font>
      <sz val="10"/>
      <name val="명조"/>
      <family val="3"/>
      <charset val="129"/>
    </font>
    <font>
      <sz val="10"/>
      <name val="돋움체"/>
      <family val="3"/>
      <charset val="129"/>
    </font>
    <font>
      <i/>
      <sz val="14"/>
      <name val="Times New Roman"/>
      <family val="1"/>
    </font>
    <font>
      <b/>
      <sz val="14"/>
      <name val="Times New Roman"/>
      <family val="1"/>
      <charset val="163"/>
    </font>
    <font>
      <sz val="12"/>
      <color indexed="8"/>
      <name val="Arial Narrow"/>
      <family val="2"/>
      <charset val="163"/>
    </font>
    <font>
      <i/>
      <sz val="11"/>
      <name val="Times New Roman"/>
      <family val="1"/>
    </font>
    <font>
      <b/>
      <sz val="12"/>
      <name val="Times New Roman"/>
      <family val="1"/>
      <charset val="163"/>
    </font>
    <font>
      <sz val="12"/>
      <name val="Times New Roman"/>
      <family val="1"/>
      <charset val="163"/>
    </font>
    <font>
      <i/>
      <sz val="12"/>
      <name val="Times New Roman"/>
      <family val="1"/>
      <charset val="163"/>
    </font>
    <font>
      <b/>
      <sz val="11"/>
      <name val="Times New Roman"/>
      <family val="1"/>
      <charset val="163"/>
    </font>
    <font>
      <b/>
      <i/>
      <sz val="11"/>
      <name val="Times New Roman"/>
      <family val="1"/>
    </font>
    <font>
      <sz val="11"/>
      <name val="Times New Roman"/>
      <family val="1"/>
      <charset val="163"/>
    </font>
    <font>
      <b/>
      <sz val="12"/>
      <name val="Times New Roman h"/>
    </font>
    <font>
      <sz val="16"/>
      <name val="Times New Roman"/>
      <family val="1"/>
    </font>
    <font>
      <sz val="13"/>
      <name val="Times New Roman"/>
      <family val="1"/>
    </font>
    <font>
      <b/>
      <u/>
      <sz val="11"/>
      <name val="Times New Roman"/>
      <family val="1"/>
    </font>
    <font>
      <sz val="11"/>
      <color theme="1"/>
      <name val="Arial"/>
      <family val="2"/>
      <scheme val="minor"/>
    </font>
    <font>
      <sz val="10"/>
      <color theme="1"/>
      <name val="Times New Roman"/>
      <family val="2"/>
      <charset val="163"/>
    </font>
    <font>
      <sz val="12"/>
      <color theme="1"/>
      <name val="Times New Roman"/>
      <family val="2"/>
    </font>
    <font>
      <sz val="11"/>
      <color theme="1"/>
      <name val="Arial"/>
      <family val="2"/>
      <charset val="163"/>
      <scheme val="minor"/>
    </font>
    <font>
      <sz val="12"/>
      <color theme="1"/>
      <name val="Arial"/>
      <family val="2"/>
      <charset val="163"/>
      <scheme val="minor"/>
    </font>
    <font>
      <sz val="13"/>
      <color theme="1"/>
      <name val="Times New Roman"/>
      <family val="2"/>
    </font>
    <font>
      <sz val="11"/>
      <color theme="1"/>
      <name val="times new roman"/>
      <family val="2"/>
      <charset val="163"/>
    </font>
    <font>
      <b/>
      <sz val="13"/>
      <color theme="1"/>
      <name val="Times New Roman"/>
      <family val="1"/>
    </font>
    <font>
      <b/>
      <sz val="11"/>
      <color theme="1"/>
      <name val="Times New Roman"/>
      <family val="1"/>
    </font>
    <font>
      <sz val="13"/>
      <color theme="1"/>
      <name val="Times New Roman"/>
      <family val="1"/>
    </font>
    <font>
      <i/>
      <sz val="12"/>
      <color theme="1"/>
      <name val="Times New Roman"/>
      <family val="1"/>
    </font>
    <font>
      <sz val="12"/>
      <color theme="1"/>
      <name val="Times New Roman"/>
      <family val="1"/>
    </font>
    <font>
      <sz val="11"/>
      <color theme="1"/>
      <name val="Times New Roman"/>
      <family val="1"/>
    </font>
    <font>
      <sz val="10"/>
      <color theme="1"/>
      <name val="Times New Roman"/>
      <family val="1"/>
    </font>
    <font>
      <b/>
      <sz val="10"/>
      <color rgb="FF000000"/>
      <name val="Arial"/>
      <family val="2"/>
    </font>
    <font>
      <i/>
      <sz val="10"/>
      <color rgb="FF000000"/>
      <name val="Arial"/>
      <family val="2"/>
    </font>
    <font>
      <b/>
      <sz val="10"/>
      <color theme="1"/>
      <name val="Times New Roman"/>
      <family val="2"/>
      <charset val="163"/>
    </font>
    <font>
      <sz val="10"/>
      <color rgb="FF000000"/>
      <name val="Arial"/>
      <family val="2"/>
    </font>
    <font>
      <b/>
      <i/>
      <sz val="10"/>
      <color rgb="FF000000"/>
      <name val="Arial"/>
      <family val="2"/>
    </font>
    <font>
      <b/>
      <i/>
      <sz val="10"/>
      <color theme="1"/>
      <name val="Times New Roman"/>
      <family val="2"/>
      <charset val="163"/>
    </font>
    <font>
      <b/>
      <sz val="12"/>
      <color rgb="FF000000"/>
      <name val="Times New Roman"/>
      <family val="1"/>
    </font>
    <font>
      <sz val="12"/>
      <color rgb="FF000000"/>
      <name val="Times New Roman"/>
      <family val="1"/>
    </font>
    <font>
      <b/>
      <sz val="12"/>
      <color theme="1"/>
      <name val="Times New Roman"/>
      <family val="1"/>
    </font>
    <font>
      <b/>
      <i/>
      <sz val="12"/>
      <color rgb="FF000000"/>
      <name val="Times New Roman"/>
      <family val="1"/>
    </font>
    <font>
      <i/>
      <sz val="12"/>
      <color rgb="FF000000"/>
      <name val="Times New Roman"/>
      <family val="1"/>
    </font>
    <font>
      <sz val="14"/>
      <color theme="1"/>
      <name val="Times New Roman"/>
      <family val="1"/>
    </font>
    <font>
      <b/>
      <sz val="14"/>
      <color theme="1"/>
      <name val="Times New Roman"/>
      <family val="1"/>
    </font>
    <font>
      <b/>
      <sz val="14"/>
      <color theme="1"/>
      <name val="Times New Roman"/>
      <family val="1"/>
      <charset val="163"/>
    </font>
    <font>
      <sz val="14"/>
      <color theme="1"/>
      <name val="Times New Roman"/>
      <family val="1"/>
      <charset val="163"/>
    </font>
    <font>
      <sz val="14"/>
      <color theme="1"/>
      <name val="Times New Roman"/>
      <family val="2"/>
      <charset val="163"/>
    </font>
    <font>
      <b/>
      <sz val="11"/>
      <color rgb="FF000000"/>
      <name val="Times New Roman"/>
      <family val="1"/>
    </font>
    <font>
      <sz val="11"/>
      <color rgb="FF000000"/>
      <name val="Times New Roman"/>
      <family val="1"/>
    </font>
    <font>
      <i/>
      <sz val="13"/>
      <color rgb="FF000000"/>
      <name val="Times New Roman"/>
      <family val="1"/>
    </font>
    <font>
      <i/>
      <sz val="14"/>
      <color theme="1"/>
      <name val="Times New Roman"/>
      <family val="1"/>
    </font>
    <font>
      <b/>
      <sz val="13"/>
      <color theme="0"/>
      <name val="Times New Roman"/>
      <family val="1"/>
    </font>
    <font>
      <sz val="13"/>
      <color theme="0"/>
      <name val="Times New Roman"/>
      <family val="1"/>
    </font>
    <font>
      <i/>
      <sz val="12"/>
      <color theme="0"/>
      <name val="Times New Roman"/>
      <family val="1"/>
    </font>
    <font>
      <sz val="12"/>
      <color theme="0"/>
      <name val="Times New Roman"/>
      <family val="1"/>
    </font>
    <font>
      <i/>
      <sz val="11"/>
      <color theme="1"/>
      <name val="Times New Roman"/>
      <family val="1"/>
    </font>
    <font>
      <sz val="11"/>
      <color rgb="FFFF0000"/>
      <name val="Times New Roman"/>
      <family val="1"/>
      <charset val="163"/>
    </font>
    <font>
      <b/>
      <sz val="12"/>
      <color rgb="FFFF0000"/>
      <name val="Times New Roman"/>
      <family val="1"/>
      <charset val="163"/>
    </font>
    <font>
      <b/>
      <sz val="12"/>
      <color rgb="FFFF0000"/>
      <name val="Times New Roman"/>
      <family val="1"/>
    </font>
    <font>
      <b/>
      <sz val="11"/>
      <color rgb="FFFF0000"/>
      <name val="Times New Roman"/>
      <family val="1"/>
      <charset val="163"/>
    </font>
    <font>
      <sz val="12"/>
      <color rgb="FFFF0000"/>
      <name val="Times New Roman"/>
      <family val="1"/>
    </font>
    <font>
      <sz val="12"/>
      <color rgb="FFFF0000"/>
      <name val="Times New Roman"/>
      <family val="1"/>
      <charset val="163"/>
    </font>
    <font>
      <b/>
      <sz val="11"/>
      <color rgb="FFFF0000"/>
      <name val="Times New Roman"/>
      <family val="1"/>
    </font>
    <font>
      <i/>
      <sz val="12"/>
      <color rgb="FFFF0000"/>
      <name val="Times New Roman"/>
      <family val="1"/>
      <charset val="163"/>
    </font>
    <font>
      <sz val="8"/>
      <color theme="1"/>
      <name val="Arial"/>
      <family val="2"/>
    </font>
    <font>
      <b/>
      <sz val="12"/>
      <color theme="0"/>
      <name val="Times New Roman"/>
      <family val="1"/>
    </font>
    <font>
      <b/>
      <sz val="11"/>
      <color theme="0"/>
      <name val="Times New Roman"/>
      <family val="1"/>
    </font>
    <font>
      <sz val="14"/>
      <color theme="0"/>
      <name val="Times New Roman"/>
      <family val="1"/>
    </font>
    <font>
      <i/>
      <sz val="14"/>
      <color theme="0"/>
      <name val="Times New Roman"/>
      <family val="1"/>
    </font>
    <font>
      <b/>
      <sz val="14"/>
      <color theme="0"/>
      <name val="Times New Roman"/>
      <family val="1"/>
    </font>
    <font>
      <sz val="10"/>
      <color theme="1"/>
      <name val=".VnTime"/>
      <family val="2"/>
    </font>
    <font>
      <b/>
      <i/>
      <sz val="8"/>
      <color theme="1"/>
      <name val="Times New Roman"/>
      <family val="1"/>
    </font>
    <font>
      <b/>
      <sz val="10"/>
      <color theme="1"/>
      <name val="Times New Roman"/>
      <family val="1"/>
    </font>
    <font>
      <b/>
      <sz val="10"/>
      <color theme="1"/>
      <name val=".VnTime"/>
      <family val="2"/>
    </font>
    <font>
      <i/>
      <sz val="10"/>
      <color theme="1"/>
      <name val=".VnTime"/>
      <family val="2"/>
    </font>
    <font>
      <i/>
      <sz val="10"/>
      <color theme="1"/>
      <name val="Times New Roman"/>
      <family val="1"/>
    </font>
    <font>
      <sz val="11"/>
      <color theme="1"/>
      <name val=".VnTime"/>
      <family val="2"/>
    </font>
    <font>
      <i/>
      <sz val="13"/>
      <color theme="0"/>
      <name val="Times New Roman"/>
      <family val="1"/>
    </font>
    <font>
      <i/>
      <sz val="10"/>
      <color theme="0"/>
      <name val="Times New Roman"/>
      <family val="1"/>
    </font>
    <font>
      <sz val="11"/>
      <color theme="0"/>
      <name val="Times New Roman"/>
      <family val="1"/>
    </font>
    <font>
      <i/>
      <sz val="13"/>
      <color theme="1"/>
      <name val="Times New Roman"/>
      <family val="1"/>
    </font>
    <font>
      <b/>
      <sz val="12"/>
      <color theme="1"/>
      <name val=".VnTimeH"/>
      <family val="2"/>
    </font>
    <font>
      <sz val="8"/>
      <color theme="1"/>
      <name val="Times New Roman"/>
      <family val="1"/>
    </font>
    <font>
      <b/>
      <sz val="14"/>
      <color theme="1"/>
      <name val=".VnTimeH"/>
      <family val="2"/>
    </font>
    <font>
      <b/>
      <i/>
      <sz val="10"/>
      <color theme="1"/>
      <name val="Times New Roman"/>
      <family val="1"/>
    </font>
    <font>
      <b/>
      <sz val="13"/>
      <color rgb="FF000000"/>
      <name val="Times New Roman"/>
      <family val="1"/>
    </font>
    <font>
      <i/>
      <sz val="11"/>
      <color rgb="FF000000"/>
      <name val="Times New Roman"/>
      <family val="1"/>
    </font>
    <font>
      <b/>
      <sz val="14"/>
      <color rgb="FF000000"/>
      <name val="Arial"/>
      <family val="2"/>
    </font>
    <font>
      <i/>
      <sz val="14"/>
      <color rgb="FF000000"/>
      <name val="Arial"/>
      <family val="2"/>
    </font>
    <font>
      <sz val="10"/>
      <color theme="1"/>
      <name val="Times New Roman"/>
      <family val="1"/>
      <scheme val="major"/>
    </font>
    <font>
      <sz val="10"/>
      <color theme="0"/>
      <name val="Times New Roman"/>
      <family val="1"/>
      <scheme val="major"/>
    </font>
    <font>
      <b/>
      <sz val="14"/>
      <color theme="1"/>
      <name val="Times New Roman"/>
      <family val="1"/>
      <scheme val="major"/>
    </font>
    <font>
      <b/>
      <sz val="10"/>
      <color theme="1"/>
      <name val="Times New Roman"/>
      <family val="1"/>
      <scheme val="major"/>
    </font>
    <font>
      <b/>
      <sz val="10"/>
      <color theme="0"/>
      <name val="Times New Roman"/>
      <family val="1"/>
      <scheme val="major"/>
    </font>
    <font>
      <sz val="14"/>
      <color theme="1"/>
      <name val="Times New Roman"/>
      <family val="1"/>
      <scheme val="major"/>
    </font>
    <font>
      <sz val="14"/>
      <color theme="0"/>
      <name val="Times New Roman"/>
      <family val="1"/>
      <scheme val="major"/>
    </font>
    <font>
      <i/>
      <sz val="14"/>
      <color theme="1"/>
      <name val="Times New Roman"/>
      <family val="1"/>
      <scheme val="major"/>
    </font>
    <font>
      <b/>
      <i/>
      <sz val="14"/>
      <color theme="1"/>
      <name val="Times New Roman"/>
      <family val="1"/>
      <scheme val="major"/>
    </font>
    <font>
      <b/>
      <sz val="14"/>
      <color theme="0"/>
      <name val="Times New Roman"/>
      <family val="1"/>
      <scheme val="major"/>
    </font>
    <font>
      <b/>
      <sz val="10"/>
      <color rgb="FF000000"/>
      <name val="Times New Roman"/>
      <family val="1"/>
      <scheme val="major"/>
    </font>
    <font>
      <i/>
      <sz val="10"/>
      <color rgb="FF000000"/>
      <name val="Times New Roman"/>
      <family val="1"/>
      <scheme val="major"/>
    </font>
    <font>
      <sz val="10"/>
      <color rgb="FF000000"/>
      <name val="Times New Roman"/>
      <family val="1"/>
      <scheme val="major"/>
    </font>
    <font>
      <b/>
      <i/>
      <sz val="10"/>
      <color rgb="FF000000"/>
      <name val="Times New Roman"/>
      <family val="1"/>
      <scheme val="major"/>
    </font>
    <font>
      <b/>
      <i/>
      <sz val="10"/>
      <color theme="1"/>
      <name val="Times New Roman"/>
      <family val="1"/>
      <scheme val="major"/>
    </font>
    <font>
      <b/>
      <i/>
      <sz val="10"/>
      <color theme="0"/>
      <name val="Times New Roman"/>
      <family val="1"/>
      <scheme val="major"/>
    </font>
    <font>
      <sz val="10"/>
      <color rgb="FFFF0000"/>
      <name val="Times New Roman"/>
      <family val="1"/>
      <scheme val="major"/>
    </font>
  </fonts>
  <fills count="55">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theme="1"/>
      </bottom>
      <diagonal/>
    </border>
    <border>
      <left style="thin">
        <color theme="1"/>
      </left>
      <right style="thin">
        <color rgb="FF000000"/>
      </right>
      <top style="thin">
        <color theme="1"/>
      </top>
      <bottom style="hair">
        <color theme="1"/>
      </bottom>
      <diagonal/>
    </border>
    <border>
      <left style="thin">
        <color theme="1"/>
      </left>
      <right style="thin">
        <color rgb="FF000000"/>
      </right>
      <top style="hair">
        <color theme="1"/>
      </top>
      <bottom/>
      <diagonal/>
    </border>
  </borders>
  <cellStyleXfs count="1912">
    <xf numFmtId="0" fontId="0" fillId="0" borderId="0"/>
    <xf numFmtId="177" fontId="54" fillId="0" borderId="0" applyFont="0" applyFill="0" applyBorder="0" applyAlignment="0" applyProtection="0"/>
    <xf numFmtId="0" fontId="12" fillId="0" borderId="0" applyNumberFormat="0" applyFill="0" applyBorder="0" applyAlignment="0" applyProtection="0"/>
    <xf numFmtId="3" fontId="97" fillId="0" borderId="1"/>
    <xf numFmtId="179" fontId="20" fillId="0" borderId="2" applyFont="0" applyBorder="0"/>
    <xf numFmtId="220" fontId="98" fillId="0" borderId="0" applyBorder="0"/>
    <xf numFmtId="179" fontId="20" fillId="0" borderId="2" applyFont="0" applyBorder="0"/>
    <xf numFmtId="0" fontId="10" fillId="0" borderId="0"/>
    <xf numFmtId="180" fontId="21"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21" fontId="34" fillId="0" borderId="0" applyFont="0" applyFill="0" applyBorder="0" applyAlignment="0" applyProtection="0"/>
    <xf numFmtId="181" fontId="21" fillId="0" borderId="0" applyFont="0" applyFill="0" applyBorder="0" applyAlignment="0" applyProtection="0"/>
    <xf numFmtId="0" fontId="7" fillId="0" borderId="0" applyNumberFormat="0" applyFill="0" applyBorder="0" applyAlignment="0" applyProtection="0"/>
    <xf numFmtId="0" fontId="99" fillId="0" borderId="0" applyFont="0" applyFill="0" applyBorder="0" applyAlignment="0" applyProtection="0"/>
    <xf numFmtId="0" fontId="100" fillId="0" borderId="3"/>
    <xf numFmtId="173" fontId="62" fillId="0" borderId="0" applyFont="0" applyFill="0" applyBorder="0" applyAlignment="0" applyProtection="0"/>
    <xf numFmtId="175" fontId="62" fillId="0" borderId="0" applyFont="0" applyFill="0" applyBorder="0" applyAlignment="0" applyProtection="0"/>
    <xf numFmtId="222" fontId="10" fillId="0" borderId="0" applyFont="0" applyFill="0" applyBorder="0" applyAlignment="0" applyProtection="0"/>
    <xf numFmtId="174" fontId="101" fillId="0" borderId="0" applyFont="0" applyFill="0" applyBorder="0" applyAlignment="0" applyProtection="0"/>
    <xf numFmtId="176" fontId="101" fillId="0" borderId="0" applyFont="0" applyFill="0" applyBorder="0" applyAlignment="0" applyProtection="0"/>
    <xf numFmtId="197" fontId="6" fillId="0" borderId="0" applyFont="0" applyFill="0" applyBorder="0" applyAlignment="0" applyProtection="0"/>
    <xf numFmtId="0" fontId="10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applyNumberFormat="0" applyFill="0" applyBorder="0" applyAlignment="0" applyProtection="0"/>
    <xf numFmtId="174" fontId="12" fillId="0" borderId="0" applyFont="0" applyFill="0" applyBorder="0" applyAlignment="0" applyProtection="0"/>
    <xf numFmtId="177" fontId="104" fillId="0" borderId="0" applyFont="0" applyFill="0" applyBorder="0" applyAlignment="0" applyProtection="0"/>
    <xf numFmtId="185" fontId="12" fillId="0" borderId="0" applyFont="0" applyFill="0" applyBorder="0" applyAlignment="0" applyProtection="0"/>
    <xf numFmtId="177" fontId="104" fillId="0" borderId="0" applyFont="0" applyFill="0" applyBorder="0" applyAlignment="0" applyProtection="0"/>
    <xf numFmtId="0" fontId="41" fillId="0" borderId="0"/>
    <xf numFmtId="0" fontId="63" fillId="0" borderId="0"/>
    <xf numFmtId="0" fontId="35" fillId="0" borderId="0">
      <alignment vertical="top"/>
    </xf>
    <xf numFmtId="0" fontId="35" fillId="0" borderId="0">
      <alignment vertical="top"/>
    </xf>
    <xf numFmtId="173" fontId="104" fillId="0" borderId="0" applyFont="0" applyFill="0" applyBorder="0" applyAlignment="0" applyProtection="0"/>
    <xf numFmtId="177" fontId="104" fillId="0" borderId="0" applyFont="0" applyFill="0" applyBorder="0" applyAlignment="0" applyProtection="0"/>
    <xf numFmtId="194" fontId="54" fillId="0" borderId="0" applyFont="0" applyFill="0" applyBorder="0" applyAlignment="0" applyProtection="0"/>
    <xf numFmtId="223" fontId="104" fillId="0" borderId="0" applyFont="0" applyFill="0" applyBorder="0" applyAlignment="0" applyProtection="0"/>
    <xf numFmtId="224" fontId="104" fillId="0" borderId="0" applyFont="0" applyFill="0" applyBorder="0" applyAlignment="0" applyProtection="0"/>
    <xf numFmtId="223" fontId="104" fillId="0" borderId="0" applyFont="0" applyFill="0" applyBorder="0" applyAlignment="0" applyProtection="0"/>
    <xf numFmtId="194" fontId="54" fillId="0" borderId="0" applyFont="0" applyFill="0" applyBorder="0" applyAlignment="0" applyProtection="0"/>
    <xf numFmtId="0" fontId="63" fillId="0" borderId="0"/>
    <xf numFmtId="0" fontId="10" fillId="0" borderId="0" applyNumberFormat="0" applyFill="0" applyBorder="0" applyAlignment="0" applyProtection="0"/>
    <xf numFmtId="0" fontId="10" fillId="0" borderId="0" applyNumberFormat="0" applyFill="0" applyBorder="0" applyAlignment="0" applyProtection="0"/>
    <xf numFmtId="194" fontId="54" fillId="0" borderId="0" applyFont="0" applyFill="0" applyBorder="0" applyAlignment="0" applyProtection="0"/>
    <xf numFmtId="0" fontId="63" fillId="0" borderId="0"/>
    <xf numFmtId="177" fontId="104" fillId="0" borderId="0" applyFont="0" applyFill="0" applyBorder="0" applyAlignment="0" applyProtection="0"/>
    <xf numFmtId="177" fontId="104" fillId="0" borderId="0" applyFont="0" applyFill="0" applyBorder="0" applyAlignment="0" applyProtection="0"/>
    <xf numFmtId="177"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3" fillId="0" borderId="0"/>
    <xf numFmtId="0" fontId="63" fillId="0" borderId="0"/>
    <xf numFmtId="0" fontId="6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3" fillId="0" borderId="0"/>
    <xf numFmtId="177" fontId="104" fillId="0" borderId="0" applyFont="0" applyFill="0" applyBorder="0" applyAlignment="0" applyProtection="0"/>
    <xf numFmtId="213" fontId="54" fillId="0" borderId="0" applyFont="0" applyFill="0" applyBorder="0" applyAlignment="0" applyProtection="0"/>
    <xf numFmtId="173" fontId="104" fillId="0" borderId="0" applyFont="0" applyFill="0" applyBorder="0" applyAlignment="0" applyProtection="0"/>
    <xf numFmtId="173"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8" fontId="105"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7" fillId="0" borderId="0" applyFont="0" applyFill="0" applyBorder="0" applyAlignment="0" applyProtection="0"/>
    <xf numFmtId="226" fontId="105" fillId="0" borderId="0" applyFont="0" applyFill="0" applyBorder="0" applyAlignment="0" applyProtection="0"/>
    <xf numFmtId="225" fontId="54" fillId="0" borderId="0" applyFont="0" applyFill="0" applyBorder="0" applyAlignment="0" applyProtection="0"/>
    <xf numFmtId="178" fontId="105" fillId="0" borderId="0" applyFont="0" applyFill="0" applyBorder="0" applyAlignment="0" applyProtection="0"/>
    <xf numFmtId="227" fontId="54" fillId="0" borderId="0" applyFont="0" applyFill="0" applyBorder="0" applyAlignment="0" applyProtection="0"/>
    <xf numFmtId="177" fontId="5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228" fontId="54" fillId="0" borderId="0" applyFont="0" applyFill="0" applyBorder="0" applyAlignment="0" applyProtection="0"/>
    <xf numFmtId="228" fontId="5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05"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05" fontId="104" fillId="0" borderId="0" applyFont="0" applyFill="0" applyBorder="0" applyAlignment="0" applyProtection="0"/>
    <xf numFmtId="231" fontId="104" fillId="0" borderId="0" applyFont="0" applyFill="0" applyBorder="0" applyAlignment="0" applyProtection="0"/>
    <xf numFmtId="0" fontId="104" fillId="0" borderId="0" applyFont="0" applyFill="0" applyBorder="0" applyAlignment="0" applyProtection="0"/>
    <xf numFmtId="43" fontId="104" fillId="0" borderId="0" applyFont="0" applyFill="0" applyBorder="0" applyAlignment="0" applyProtection="0"/>
    <xf numFmtId="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05" fontId="104" fillId="0" borderId="0" applyFont="0" applyFill="0" applyBorder="0" applyAlignment="0" applyProtection="0"/>
    <xf numFmtId="232" fontId="104" fillId="0" borderId="0" applyFont="0" applyFill="0" applyBorder="0" applyAlignment="0" applyProtection="0"/>
    <xf numFmtId="230" fontId="104" fillId="0" borderId="0" applyFont="0" applyFill="0" applyBorder="0" applyAlignment="0" applyProtection="0"/>
    <xf numFmtId="233" fontId="104" fillId="0" borderId="0" applyFont="0" applyFill="0" applyBorder="0" applyAlignment="0" applyProtection="0"/>
    <xf numFmtId="233" fontId="104" fillId="0" borderId="0" applyFont="0" applyFill="0" applyBorder="0" applyAlignment="0" applyProtection="0"/>
    <xf numFmtId="205" fontId="104" fillId="0" borderId="0" applyFont="0" applyFill="0" applyBorder="0" applyAlignment="0" applyProtection="0"/>
    <xf numFmtId="229"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2" fontId="104" fillId="0" borderId="0" applyFont="0" applyFill="0" applyBorder="0" applyAlignment="0" applyProtection="0"/>
    <xf numFmtId="232" fontId="104" fillId="0" borderId="0" applyFont="0" applyFill="0" applyBorder="0" applyAlignment="0" applyProtection="0"/>
    <xf numFmtId="229" fontId="104" fillId="0" borderId="0" applyFont="0" applyFill="0" applyBorder="0" applyAlignment="0" applyProtection="0"/>
    <xf numFmtId="234"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2" fontId="5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174" fontId="105" fillId="0" borderId="0" applyFont="0" applyFill="0" applyBorder="0" applyAlignment="0" applyProtection="0"/>
    <xf numFmtId="235" fontId="104" fillId="0" borderId="0" applyFont="0" applyFill="0" applyBorder="0" applyAlignment="0" applyProtection="0"/>
    <xf numFmtId="235" fontId="104" fillId="0" borderId="0" applyFont="0" applyFill="0" applyBorder="0" applyAlignment="0" applyProtection="0"/>
    <xf numFmtId="236" fontId="7" fillId="0" borderId="0" applyFont="0" applyFill="0" applyBorder="0" applyAlignment="0" applyProtection="0"/>
    <xf numFmtId="176" fontId="105" fillId="0" borderId="0" applyFont="0" applyFill="0" applyBorder="0" applyAlignment="0" applyProtection="0"/>
    <xf numFmtId="235" fontId="104" fillId="0" borderId="0" applyFont="0" applyFill="0" applyBorder="0" applyAlignment="0" applyProtection="0"/>
    <xf numFmtId="174" fontId="105" fillId="0" borderId="0" applyFont="0" applyFill="0" applyBorder="0" applyAlignment="0" applyProtection="0"/>
    <xf numFmtId="192" fontId="33" fillId="0" borderId="0" applyFont="0" applyFill="0" applyBorder="0" applyAlignment="0" applyProtection="0"/>
    <xf numFmtId="234" fontId="104" fillId="0" borderId="0" applyFont="0" applyFill="0" applyBorder="0" applyAlignment="0" applyProtection="0"/>
    <xf numFmtId="23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4" fontId="54" fillId="0" borderId="0" applyFont="0" applyFill="0" applyBorder="0" applyAlignment="0" applyProtection="0"/>
    <xf numFmtId="173" fontId="104" fillId="0" borderId="0" applyFont="0" applyFill="0" applyBorder="0" applyAlignment="0" applyProtection="0"/>
    <xf numFmtId="194" fontId="54" fillId="0" borderId="0" applyFont="0" applyFill="0" applyBorder="0" applyAlignment="0" applyProtection="0"/>
    <xf numFmtId="223" fontId="104" fillId="0" borderId="0" applyFont="0" applyFill="0" applyBorder="0" applyAlignment="0" applyProtection="0"/>
    <xf numFmtId="224"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177" fontId="104" fillId="0" borderId="0" applyFont="0" applyFill="0" applyBorder="0" applyAlignment="0" applyProtection="0"/>
    <xf numFmtId="213" fontId="54" fillId="0" borderId="0" applyFont="0" applyFill="0" applyBorder="0" applyAlignment="0" applyProtection="0"/>
    <xf numFmtId="177"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237" fontId="104" fillId="0" borderId="0" applyFont="0" applyFill="0" applyBorder="0" applyAlignment="0" applyProtection="0"/>
    <xf numFmtId="194" fontId="5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239" fontId="104" fillId="0" borderId="0" applyFont="0" applyFill="0" applyBorder="0" applyAlignment="0" applyProtection="0"/>
    <xf numFmtId="240" fontId="105" fillId="0" borderId="0" applyFont="0" applyFill="0" applyBorder="0" applyAlignment="0" applyProtection="0"/>
    <xf numFmtId="239" fontId="10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194" fontId="104" fillId="0" borderId="0" applyFont="0" applyFill="0" applyBorder="0" applyAlignment="0" applyProtection="0"/>
    <xf numFmtId="194" fontId="104" fillId="0" borderId="0" applyFont="0" applyFill="0" applyBorder="0" applyAlignment="0" applyProtection="0"/>
    <xf numFmtId="240" fontId="105" fillId="0" borderId="0" applyFont="0" applyFill="0" applyBorder="0" applyAlignment="0" applyProtection="0"/>
    <xf numFmtId="241" fontId="104" fillId="0" borderId="0" applyFont="0" applyFill="0" applyBorder="0" applyAlignment="0" applyProtection="0"/>
    <xf numFmtId="241" fontId="104" fillId="0" borderId="0" applyFont="0" applyFill="0" applyBorder="0" applyAlignment="0" applyProtection="0"/>
    <xf numFmtId="242" fontId="7" fillId="0" borderId="0" applyFont="0" applyFill="0" applyBorder="0" applyAlignment="0" applyProtection="0"/>
    <xf numFmtId="174" fontId="105" fillId="0" borderId="0" applyFont="0" applyFill="0" applyBorder="0" applyAlignment="0" applyProtection="0"/>
    <xf numFmtId="241" fontId="104" fillId="0" borderId="0" applyFont="0" applyFill="0" applyBorder="0" applyAlignment="0" applyProtection="0"/>
    <xf numFmtId="240" fontId="105" fillId="0" borderId="0" applyFont="0" applyFill="0" applyBorder="0" applyAlignment="0" applyProtection="0"/>
    <xf numFmtId="211" fontId="33" fillId="0" borderId="0" applyFont="0" applyFill="0" applyBorder="0" applyAlignment="0" applyProtection="0"/>
    <xf numFmtId="243" fontId="104" fillId="0" borderId="0" applyFont="0" applyFill="0" applyBorder="0" applyAlignment="0" applyProtection="0"/>
    <xf numFmtId="177"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05"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05" fontId="104" fillId="0" borderId="0" applyFont="0" applyFill="0" applyBorder="0" applyAlignment="0" applyProtection="0"/>
    <xf numFmtId="231" fontId="104" fillId="0" borderId="0" applyFont="0" applyFill="0" applyBorder="0" applyAlignment="0" applyProtection="0"/>
    <xf numFmtId="0" fontId="104" fillId="0" borderId="0" applyFont="0" applyFill="0" applyBorder="0" applyAlignment="0" applyProtection="0"/>
    <xf numFmtId="43" fontId="104" fillId="0" borderId="0" applyFont="0" applyFill="0" applyBorder="0" applyAlignment="0" applyProtection="0"/>
    <xf numFmtId="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05" fontId="104" fillId="0" borderId="0" applyFont="0" applyFill="0" applyBorder="0" applyAlignment="0" applyProtection="0"/>
    <xf numFmtId="232" fontId="104" fillId="0" borderId="0" applyFont="0" applyFill="0" applyBorder="0" applyAlignment="0" applyProtection="0"/>
    <xf numFmtId="230" fontId="104" fillId="0" borderId="0" applyFont="0" applyFill="0" applyBorder="0" applyAlignment="0" applyProtection="0"/>
    <xf numFmtId="233" fontId="104" fillId="0" borderId="0" applyFont="0" applyFill="0" applyBorder="0" applyAlignment="0" applyProtection="0"/>
    <xf numFmtId="233" fontId="104" fillId="0" borderId="0" applyFont="0" applyFill="0" applyBorder="0" applyAlignment="0" applyProtection="0"/>
    <xf numFmtId="205" fontId="104" fillId="0" borderId="0" applyFont="0" applyFill="0" applyBorder="0" applyAlignment="0" applyProtection="0"/>
    <xf numFmtId="229"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2" fontId="104" fillId="0" borderId="0" applyFont="0" applyFill="0" applyBorder="0" applyAlignment="0" applyProtection="0"/>
    <xf numFmtId="232" fontId="104" fillId="0" borderId="0" applyFont="0" applyFill="0" applyBorder="0" applyAlignment="0" applyProtection="0"/>
    <xf numFmtId="229" fontId="104" fillId="0" borderId="0" applyFont="0" applyFill="0" applyBorder="0" applyAlignment="0" applyProtection="0"/>
    <xf numFmtId="234"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2" fontId="5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174" fontId="105" fillId="0" borderId="0" applyFont="0" applyFill="0" applyBorder="0" applyAlignment="0" applyProtection="0"/>
    <xf numFmtId="235" fontId="104" fillId="0" borderId="0" applyFont="0" applyFill="0" applyBorder="0" applyAlignment="0" applyProtection="0"/>
    <xf numFmtId="235" fontId="104" fillId="0" borderId="0" applyFont="0" applyFill="0" applyBorder="0" applyAlignment="0" applyProtection="0"/>
    <xf numFmtId="236" fontId="7" fillId="0" borderId="0" applyFont="0" applyFill="0" applyBorder="0" applyAlignment="0" applyProtection="0"/>
    <xf numFmtId="176" fontId="105" fillId="0" borderId="0" applyFont="0" applyFill="0" applyBorder="0" applyAlignment="0" applyProtection="0"/>
    <xf numFmtId="235" fontId="104" fillId="0" borderId="0" applyFont="0" applyFill="0" applyBorder="0" applyAlignment="0" applyProtection="0"/>
    <xf numFmtId="174" fontId="105" fillId="0" borderId="0" applyFont="0" applyFill="0" applyBorder="0" applyAlignment="0" applyProtection="0"/>
    <xf numFmtId="192" fontId="33" fillId="0" borderId="0" applyFont="0" applyFill="0" applyBorder="0" applyAlignment="0" applyProtection="0"/>
    <xf numFmtId="234" fontId="104" fillId="0" borderId="0" applyFont="0" applyFill="0" applyBorder="0" applyAlignment="0" applyProtection="0"/>
    <xf numFmtId="230" fontId="104" fillId="0" borderId="0" applyFont="0" applyFill="0" applyBorder="0" applyAlignment="0" applyProtection="0"/>
    <xf numFmtId="176" fontId="10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228" fontId="54" fillId="0" borderId="0" applyFont="0" applyFill="0" applyBorder="0" applyAlignment="0" applyProtection="0"/>
    <xf numFmtId="228" fontId="54" fillId="0" borderId="0" applyFont="0" applyFill="0" applyBorder="0" applyAlignment="0" applyProtection="0"/>
    <xf numFmtId="176"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18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184" fontId="104" fillId="0" borderId="0" applyFont="0" applyFill="0" applyBorder="0" applyAlignment="0" applyProtection="0"/>
    <xf numFmtId="245" fontId="104" fillId="0" borderId="0" applyFont="0" applyFill="0" applyBorder="0" applyAlignment="0" applyProtection="0"/>
    <xf numFmtId="185" fontId="54" fillId="0" borderId="0" applyFont="0" applyFill="0" applyBorder="0" applyAlignment="0" applyProtection="0"/>
    <xf numFmtId="41" fontId="104" fillId="0" borderId="0" applyFont="0" applyFill="0" applyBorder="0" applyAlignment="0" applyProtection="0"/>
    <xf numFmtId="185" fontId="5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4" fontId="104" fillId="0" borderId="0" applyFont="0" applyFill="0" applyBorder="0" applyAlignment="0" applyProtection="0"/>
    <xf numFmtId="246" fontId="104" fillId="0" borderId="0" applyFont="0" applyFill="0" applyBorder="0" applyAlignment="0" applyProtection="0"/>
    <xf numFmtId="244" fontId="104" fillId="0" borderId="0" applyFont="0" applyFill="0" applyBorder="0" applyAlignment="0" applyProtection="0"/>
    <xf numFmtId="247" fontId="104" fillId="0" borderId="0" applyFont="0" applyFill="0" applyBorder="0" applyAlignment="0" applyProtection="0"/>
    <xf numFmtId="248" fontId="104" fillId="0" borderId="0" applyFont="0" applyFill="0" applyBorder="0" applyAlignment="0" applyProtection="0"/>
    <xf numFmtId="247"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6" fontId="104"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9"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1" fontId="5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177" fontId="105" fillId="0" borderId="0" applyFont="0" applyFill="0" applyBorder="0" applyAlignment="0" applyProtection="0"/>
    <xf numFmtId="250" fontId="104" fillId="0" borderId="0" applyFont="0" applyFill="0" applyBorder="0" applyAlignment="0" applyProtection="0"/>
    <xf numFmtId="250" fontId="104" fillId="0" borderId="0" applyFont="0" applyFill="0" applyBorder="0" applyAlignment="0" applyProtection="0"/>
    <xf numFmtId="251" fontId="7" fillId="0" borderId="0" applyFont="0" applyFill="0" applyBorder="0" applyAlignment="0" applyProtection="0"/>
    <xf numFmtId="178" fontId="105" fillId="0" borderId="0" applyFont="0" applyFill="0" applyBorder="0" applyAlignment="0" applyProtection="0"/>
    <xf numFmtId="250" fontId="104" fillId="0" borderId="0" applyFont="0" applyFill="0" applyBorder="0" applyAlignment="0" applyProtection="0"/>
    <xf numFmtId="177" fontId="105" fillId="0" borderId="0" applyFont="0" applyFill="0" applyBorder="0" applyAlignment="0" applyProtection="0"/>
    <xf numFmtId="252" fontId="33" fillId="0" borderId="0" applyFont="0" applyFill="0" applyBorder="0" applyAlignment="0" applyProtection="0"/>
    <xf numFmtId="244" fontId="104" fillId="0" borderId="0" applyFont="0" applyFill="0" applyBorder="0" applyAlignment="0" applyProtection="0"/>
    <xf numFmtId="174" fontId="104" fillId="0" borderId="0" applyFont="0" applyFill="0" applyBorder="0" applyAlignment="0" applyProtection="0"/>
    <xf numFmtId="17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94" fontId="54" fillId="0" borderId="0" applyFont="0" applyFill="0" applyBorder="0" applyAlignment="0" applyProtection="0"/>
    <xf numFmtId="223" fontId="104" fillId="0" borderId="0" applyFont="0" applyFill="0" applyBorder="0" applyAlignment="0" applyProtection="0"/>
    <xf numFmtId="224"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177" fontId="104" fillId="0" borderId="0" applyFont="0" applyFill="0" applyBorder="0" applyAlignment="0" applyProtection="0"/>
    <xf numFmtId="213" fontId="54" fillId="0" borderId="0" applyFont="0" applyFill="0" applyBorder="0" applyAlignment="0" applyProtection="0"/>
    <xf numFmtId="177"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237" fontId="104" fillId="0" borderId="0" applyFont="0" applyFill="0" applyBorder="0" applyAlignment="0" applyProtection="0"/>
    <xf numFmtId="194" fontId="5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239" fontId="104" fillId="0" borderId="0" applyFont="0" applyFill="0" applyBorder="0" applyAlignment="0" applyProtection="0"/>
    <xf numFmtId="240" fontId="105" fillId="0" borderId="0" applyFont="0" applyFill="0" applyBorder="0" applyAlignment="0" applyProtection="0"/>
    <xf numFmtId="239" fontId="10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194" fontId="104" fillId="0" borderId="0" applyFont="0" applyFill="0" applyBorder="0" applyAlignment="0" applyProtection="0"/>
    <xf numFmtId="194" fontId="104" fillId="0" borderId="0" applyFont="0" applyFill="0" applyBorder="0" applyAlignment="0" applyProtection="0"/>
    <xf numFmtId="240" fontId="105" fillId="0" borderId="0" applyFont="0" applyFill="0" applyBorder="0" applyAlignment="0" applyProtection="0"/>
    <xf numFmtId="241" fontId="104" fillId="0" borderId="0" applyFont="0" applyFill="0" applyBorder="0" applyAlignment="0" applyProtection="0"/>
    <xf numFmtId="241" fontId="104" fillId="0" borderId="0" applyFont="0" applyFill="0" applyBorder="0" applyAlignment="0" applyProtection="0"/>
    <xf numFmtId="242" fontId="7" fillId="0" borderId="0" applyFont="0" applyFill="0" applyBorder="0" applyAlignment="0" applyProtection="0"/>
    <xf numFmtId="174" fontId="105" fillId="0" borderId="0" applyFont="0" applyFill="0" applyBorder="0" applyAlignment="0" applyProtection="0"/>
    <xf numFmtId="241" fontId="104" fillId="0" borderId="0" applyFont="0" applyFill="0" applyBorder="0" applyAlignment="0" applyProtection="0"/>
    <xf numFmtId="240" fontId="105" fillId="0" borderId="0" applyFont="0" applyFill="0" applyBorder="0" applyAlignment="0" applyProtection="0"/>
    <xf numFmtId="211" fontId="33" fillId="0" borderId="0" applyFont="0" applyFill="0" applyBorder="0" applyAlignment="0" applyProtection="0"/>
    <xf numFmtId="243" fontId="104" fillId="0" borderId="0" applyFont="0" applyFill="0" applyBorder="0" applyAlignment="0" applyProtection="0"/>
    <xf numFmtId="174" fontId="54" fillId="0" borderId="0" applyFont="0" applyFill="0" applyBorder="0" applyAlignment="0" applyProtection="0"/>
    <xf numFmtId="177" fontId="104" fillId="0" borderId="0" applyFont="0" applyFill="0" applyBorder="0" applyAlignment="0" applyProtection="0"/>
    <xf numFmtId="176" fontId="5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18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184" fontId="104" fillId="0" borderId="0" applyFont="0" applyFill="0" applyBorder="0" applyAlignment="0" applyProtection="0"/>
    <xf numFmtId="245" fontId="104" fillId="0" borderId="0" applyFont="0" applyFill="0" applyBorder="0" applyAlignment="0" applyProtection="0"/>
    <xf numFmtId="185" fontId="54" fillId="0" borderId="0" applyFont="0" applyFill="0" applyBorder="0" applyAlignment="0" applyProtection="0"/>
    <xf numFmtId="41" fontId="104" fillId="0" borderId="0" applyFont="0" applyFill="0" applyBorder="0" applyAlignment="0" applyProtection="0"/>
    <xf numFmtId="185" fontId="5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4" fontId="104" fillId="0" borderId="0" applyFont="0" applyFill="0" applyBorder="0" applyAlignment="0" applyProtection="0"/>
    <xf numFmtId="246" fontId="104" fillId="0" borderId="0" applyFont="0" applyFill="0" applyBorder="0" applyAlignment="0" applyProtection="0"/>
    <xf numFmtId="244" fontId="104" fillId="0" borderId="0" applyFont="0" applyFill="0" applyBorder="0" applyAlignment="0" applyProtection="0"/>
    <xf numFmtId="247" fontId="104" fillId="0" borderId="0" applyFont="0" applyFill="0" applyBorder="0" applyAlignment="0" applyProtection="0"/>
    <xf numFmtId="248" fontId="104" fillId="0" borderId="0" applyFont="0" applyFill="0" applyBorder="0" applyAlignment="0" applyProtection="0"/>
    <xf numFmtId="247"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6" fontId="104"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9"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1" fontId="5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177" fontId="105" fillId="0" borderId="0" applyFont="0" applyFill="0" applyBorder="0" applyAlignment="0" applyProtection="0"/>
    <xf numFmtId="250" fontId="104" fillId="0" borderId="0" applyFont="0" applyFill="0" applyBorder="0" applyAlignment="0" applyProtection="0"/>
    <xf numFmtId="250" fontId="104" fillId="0" borderId="0" applyFont="0" applyFill="0" applyBorder="0" applyAlignment="0" applyProtection="0"/>
    <xf numFmtId="251" fontId="7" fillId="0" borderId="0" applyFont="0" applyFill="0" applyBorder="0" applyAlignment="0" applyProtection="0"/>
    <xf numFmtId="178" fontId="105" fillId="0" borderId="0" applyFont="0" applyFill="0" applyBorder="0" applyAlignment="0" applyProtection="0"/>
    <xf numFmtId="250" fontId="104" fillId="0" borderId="0" applyFont="0" applyFill="0" applyBorder="0" applyAlignment="0" applyProtection="0"/>
    <xf numFmtId="177" fontId="105" fillId="0" borderId="0" applyFont="0" applyFill="0" applyBorder="0" applyAlignment="0" applyProtection="0"/>
    <xf numFmtId="252" fontId="33" fillId="0" borderId="0" applyFont="0" applyFill="0" applyBorder="0" applyAlignment="0" applyProtection="0"/>
    <xf numFmtId="244" fontId="104" fillId="0" borderId="0" applyFont="0" applyFill="0" applyBorder="0" applyAlignment="0" applyProtection="0"/>
    <xf numFmtId="174" fontId="104" fillId="0" borderId="0" applyFont="0" applyFill="0" applyBorder="0" applyAlignment="0" applyProtection="0"/>
    <xf numFmtId="17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05"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05" fontId="104" fillId="0" borderId="0" applyFont="0" applyFill="0" applyBorder="0" applyAlignment="0" applyProtection="0"/>
    <xf numFmtId="231" fontId="104" fillId="0" borderId="0" applyFont="0" applyFill="0" applyBorder="0" applyAlignment="0" applyProtection="0"/>
    <xf numFmtId="0" fontId="104" fillId="0" borderId="0" applyFont="0" applyFill="0" applyBorder="0" applyAlignment="0" applyProtection="0"/>
    <xf numFmtId="43" fontId="104" fillId="0" borderId="0" applyFont="0" applyFill="0" applyBorder="0" applyAlignment="0" applyProtection="0"/>
    <xf numFmtId="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05" fontId="104" fillId="0" borderId="0" applyFont="0" applyFill="0" applyBorder="0" applyAlignment="0" applyProtection="0"/>
    <xf numFmtId="232" fontId="104" fillId="0" borderId="0" applyFont="0" applyFill="0" applyBorder="0" applyAlignment="0" applyProtection="0"/>
    <xf numFmtId="230" fontId="104" fillId="0" borderId="0" applyFont="0" applyFill="0" applyBorder="0" applyAlignment="0" applyProtection="0"/>
    <xf numFmtId="233" fontId="104" fillId="0" borderId="0" applyFont="0" applyFill="0" applyBorder="0" applyAlignment="0" applyProtection="0"/>
    <xf numFmtId="233" fontId="104" fillId="0" borderId="0" applyFont="0" applyFill="0" applyBorder="0" applyAlignment="0" applyProtection="0"/>
    <xf numFmtId="205" fontId="104" fillId="0" borderId="0" applyFont="0" applyFill="0" applyBorder="0" applyAlignment="0" applyProtection="0"/>
    <xf numFmtId="229"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2" fontId="104" fillId="0" borderId="0" applyFont="0" applyFill="0" applyBorder="0" applyAlignment="0" applyProtection="0"/>
    <xf numFmtId="232" fontId="104" fillId="0" borderId="0" applyFont="0" applyFill="0" applyBorder="0" applyAlignment="0" applyProtection="0"/>
    <xf numFmtId="229" fontId="104" fillId="0" borderId="0" applyFont="0" applyFill="0" applyBorder="0" applyAlignment="0" applyProtection="0"/>
    <xf numFmtId="234"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2" fontId="5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174" fontId="105" fillId="0" borderId="0" applyFont="0" applyFill="0" applyBorder="0" applyAlignment="0" applyProtection="0"/>
    <xf numFmtId="235" fontId="104" fillId="0" borderId="0" applyFont="0" applyFill="0" applyBorder="0" applyAlignment="0" applyProtection="0"/>
    <xf numFmtId="235" fontId="104" fillId="0" borderId="0" applyFont="0" applyFill="0" applyBorder="0" applyAlignment="0" applyProtection="0"/>
    <xf numFmtId="236" fontId="7" fillId="0" borderId="0" applyFont="0" applyFill="0" applyBorder="0" applyAlignment="0" applyProtection="0"/>
    <xf numFmtId="176" fontId="105" fillId="0" borderId="0" applyFont="0" applyFill="0" applyBorder="0" applyAlignment="0" applyProtection="0"/>
    <xf numFmtId="235" fontId="104" fillId="0" borderId="0" applyFont="0" applyFill="0" applyBorder="0" applyAlignment="0" applyProtection="0"/>
    <xf numFmtId="174" fontId="105" fillId="0" borderId="0" applyFont="0" applyFill="0" applyBorder="0" applyAlignment="0" applyProtection="0"/>
    <xf numFmtId="192" fontId="33" fillId="0" borderId="0" applyFont="0" applyFill="0" applyBorder="0" applyAlignment="0" applyProtection="0"/>
    <xf numFmtId="234" fontId="104" fillId="0" borderId="0" applyFont="0" applyFill="0" applyBorder="0" applyAlignment="0" applyProtection="0"/>
    <xf numFmtId="23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4" fontId="54" fillId="0" borderId="0" applyFont="0" applyFill="0" applyBorder="0" applyAlignment="0" applyProtection="0"/>
    <xf numFmtId="173"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8" fontId="105"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7" fillId="0" borderId="0" applyFont="0" applyFill="0" applyBorder="0" applyAlignment="0" applyProtection="0"/>
    <xf numFmtId="226" fontId="105" fillId="0" borderId="0" applyFont="0" applyFill="0" applyBorder="0" applyAlignment="0" applyProtection="0"/>
    <xf numFmtId="225" fontId="54" fillId="0" borderId="0" applyFont="0" applyFill="0" applyBorder="0" applyAlignment="0" applyProtection="0"/>
    <xf numFmtId="178" fontId="105" fillId="0" borderId="0" applyFont="0" applyFill="0" applyBorder="0" applyAlignment="0" applyProtection="0"/>
    <xf numFmtId="227" fontId="54" fillId="0" borderId="0" applyFont="0" applyFill="0" applyBorder="0" applyAlignment="0" applyProtection="0"/>
    <xf numFmtId="177" fontId="54" fillId="0" borderId="0" applyFont="0" applyFill="0" applyBorder="0" applyAlignment="0" applyProtection="0"/>
    <xf numFmtId="176" fontId="54" fillId="0" borderId="0" applyFont="0" applyFill="0" applyBorder="0" applyAlignment="0" applyProtection="0"/>
    <xf numFmtId="228" fontId="54" fillId="0" borderId="0" applyFont="0" applyFill="0" applyBorder="0" applyAlignment="0" applyProtection="0"/>
    <xf numFmtId="228" fontId="54" fillId="0" borderId="0" applyFont="0" applyFill="0" applyBorder="0" applyAlignment="0" applyProtection="0"/>
    <xf numFmtId="177"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7" fontId="104" fillId="0" borderId="0" applyFont="0" applyFill="0" applyBorder="0" applyAlignment="0" applyProtection="0"/>
    <xf numFmtId="194" fontId="5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239" fontId="104" fillId="0" borderId="0" applyFont="0" applyFill="0" applyBorder="0" applyAlignment="0" applyProtection="0"/>
    <xf numFmtId="240" fontId="105" fillId="0" borderId="0" applyFont="0" applyFill="0" applyBorder="0" applyAlignment="0" applyProtection="0"/>
    <xf numFmtId="239" fontId="10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194" fontId="104" fillId="0" borderId="0" applyFont="0" applyFill="0" applyBorder="0" applyAlignment="0" applyProtection="0"/>
    <xf numFmtId="194"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0" fontId="63" fillId="0" borderId="0"/>
    <xf numFmtId="240" fontId="105" fillId="0" borderId="0" applyFont="0" applyFill="0" applyBorder="0" applyAlignment="0" applyProtection="0"/>
    <xf numFmtId="241" fontId="104" fillId="0" borderId="0" applyFont="0" applyFill="0" applyBorder="0" applyAlignment="0" applyProtection="0"/>
    <xf numFmtId="241" fontId="104" fillId="0" borderId="0" applyFont="0" applyFill="0" applyBorder="0" applyAlignment="0" applyProtection="0"/>
    <xf numFmtId="242" fontId="7" fillId="0" borderId="0" applyFont="0" applyFill="0" applyBorder="0" applyAlignment="0" applyProtection="0"/>
    <xf numFmtId="174" fontId="105" fillId="0" borderId="0" applyFont="0" applyFill="0" applyBorder="0" applyAlignment="0" applyProtection="0"/>
    <xf numFmtId="241" fontId="104" fillId="0" borderId="0" applyFont="0" applyFill="0" applyBorder="0" applyAlignment="0" applyProtection="0"/>
    <xf numFmtId="240" fontId="105" fillId="0" borderId="0" applyFont="0" applyFill="0" applyBorder="0" applyAlignment="0" applyProtection="0"/>
    <xf numFmtId="211" fontId="33" fillId="0" borderId="0" applyFont="0" applyFill="0" applyBorder="0" applyAlignment="0" applyProtection="0"/>
    <xf numFmtId="243" fontId="104" fillId="0" borderId="0" applyFon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174" fontId="5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18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184" fontId="104" fillId="0" borderId="0" applyFont="0" applyFill="0" applyBorder="0" applyAlignment="0" applyProtection="0"/>
    <xf numFmtId="245" fontId="104" fillId="0" borderId="0" applyFont="0" applyFill="0" applyBorder="0" applyAlignment="0" applyProtection="0"/>
    <xf numFmtId="185" fontId="54" fillId="0" borderId="0" applyFont="0" applyFill="0" applyBorder="0" applyAlignment="0" applyProtection="0"/>
    <xf numFmtId="41" fontId="104" fillId="0" borderId="0" applyFont="0" applyFill="0" applyBorder="0" applyAlignment="0" applyProtection="0"/>
    <xf numFmtId="185" fontId="5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4" fontId="104" fillId="0" borderId="0" applyFont="0" applyFill="0" applyBorder="0" applyAlignment="0" applyProtection="0"/>
    <xf numFmtId="246" fontId="104" fillId="0" borderId="0" applyFont="0" applyFill="0" applyBorder="0" applyAlignment="0" applyProtection="0"/>
    <xf numFmtId="244" fontId="104" fillId="0" borderId="0" applyFont="0" applyFill="0" applyBorder="0" applyAlignment="0" applyProtection="0"/>
    <xf numFmtId="247" fontId="104" fillId="0" borderId="0" applyFont="0" applyFill="0" applyBorder="0" applyAlignment="0" applyProtection="0"/>
    <xf numFmtId="248" fontId="104" fillId="0" borderId="0" applyFont="0" applyFill="0" applyBorder="0" applyAlignment="0" applyProtection="0"/>
    <xf numFmtId="247"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6" fontId="104"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9"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1" fontId="5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177" fontId="105" fillId="0" borderId="0" applyFont="0" applyFill="0" applyBorder="0" applyAlignment="0" applyProtection="0"/>
    <xf numFmtId="250" fontId="104" fillId="0" borderId="0" applyFont="0" applyFill="0" applyBorder="0" applyAlignment="0" applyProtection="0"/>
    <xf numFmtId="250" fontId="104" fillId="0" borderId="0" applyFont="0" applyFill="0" applyBorder="0" applyAlignment="0" applyProtection="0"/>
    <xf numFmtId="251" fontId="7" fillId="0" borderId="0" applyFont="0" applyFill="0" applyBorder="0" applyAlignment="0" applyProtection="0"/>
    <xf numFmtId="178" fontId="105" fillId="0" borderId="0" applyFont="0" applyFill="0" applyBorder="0" applyAlignment="0" applyProtection="0"/>
    <xf numFmtId="250" fontId="104" fillId="0" borderId="0" applyFont="0" applyFill="0" applyBorder="0" applyAlignment="0" applyProtection="0"/>
    <xf numFmtId="177" fontId="105" fillId="0" borderId="0" applyFont="0" applyFill="0" applyBorder="0" applyAlignment="0" applyProtection="0"/>
    <xf numFmtId="252" fontId="33" fillId="0" borderId="0" applyFont="0" applyFill="0" applyBorder="0" applyAlignment="0" applyProtection="0"/>
    <xf numFmtId="244" fontId="104" fillId="0" borderId="0" applyFont="0" applyFill="0" applyBorder="0" applyAlignment="0" applyProtection="0"/>
    <xf numFmtId="174" fontId="104" fillId="0" borderId="0" applyFont="0" applyFill="0" applyBorder="0" applyAlignment="0" applyProtection="0"/>
    <xf numFmtId="17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05"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05" fontId="104" fillId="0" borderId="0" applyFont="0" applyFill="0" applyBorder="0" applyAlignment="0" applyProtection="0"/>
    <xf numFmtId="231" fontId="104" fillId="0" borderId="0" applyFont="0" applyFill="0" applyBorder="0" applyAlignment="0" applyProtection="0"/>
    <xf numFmtId="0" fontId="104" fillId="0" borderId="0" applyFont="0" applyFill="0" applyBorder="0" applyAlignment="0" applyProtection="0"/>
    <xf numFmtId="43" fontId="104" fillId="0" borderId="0" applyFont="0" applyFill="0" applyBorder="0" applyAlignment="0" applyProtection="0"/>
    <xf numFmtId="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05" fontId="104" fillId="0" borderId="0" applyFont="0" applyFill="0" applyBorder="0" applyAlignment="0" applyProtection="0"/>
    <xf numFmtId="232" fontId="104" fillId="0" borderId="0" applyFont="0" applyFill="0" applyBorder="0" applyAlignment="0" applyProtection="0"/>
    <xf numFmtId="230" fontId="104" fillId="0" borderId="0" applyFont="0" applyFill="0" applyBorder="0" applyAlignment="0" applyProtection="0"/>
    <xf numFmtId="233" fontId="104" fillId="0" borderId="0" applyFont="0" applyFill="0" applyBorder="0" applyAlignment="0" applyProtection="0"/>
    <xf numFmtId="233" fontId="104" fillId="0" borderId="0" applyFont="0" applyFill="0" applyBorder="0" applyAlignment="0" applyProtection="0"/>
    <xf numFmtId="205" fontId="104" fillId="0" borderId="0" applyFont="0" applyFill="0" applyBorder="0" applyAlignment="0" applyProtection="0"/>
    <xf numFmtId="229" fontId="104" fillId="0" borderId="0" applyFont="0" applyFill="0" applyBorder="0" applyAlignment="0" applyProtection="0"/>
    <xf numFmtId="229"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2" fontId="104" fillId="0" borderId="0" applyFont="0" applyFill="0" applyBorder="0" applyAlignment="0" applyProtection="0"/>
    <xf numFmtId="232" fontId="104" fillId="0" borderId="0" applyFont="0" applyFill="0" applyBorder="0" applyAlignment="0" applyProtection="0"/>
    <xf numFmtId="229" fontId="104" fillId="0" borderId="0" applyFont="0" applyFill="0" applyBorder="0" applyAlignment="0" applyProtection="0"/>
    <xf numFmtId="234"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2" fontId="5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230" fontId="104" fillId="0" borderId="0" applyFont="0" applyFill="0" applyBorder="0" applyAlignment="0" applyProtection="0"/>
    <xf numFmtId="229" fontId="104" fillId="0" borderId="0" applyFont="0" applyFill="0" applyBorder="0" applyAlignment="0" applyProtection="0"/>
    <xf numFmtId="174" fontId="105" fillId="0" borderId="0" applyFont="0" applyFill="0" applyBorder="0" applyAlignment="0" applyProtection="0"/>
    <xf numFmtId="235" fontId="104" fillId="0" borderId="0" applyFont="0" applyFill="0" applyBorder="0" applyAlignment="0" applyProtection="0"/>
    <xf numFmtId="235" fontId="104" fillId="0" borderId="0" applyFont="0" applyFill="0" applyBorder="0" applyAlignment="0" applyProtection="0"/>
    <xf numFmtId="236" fontId="7" fillId="0" borderId="0" applyFont="0" applyFill="0" applyBorder="0" applyAlignment="0" applyProtection="0"/>
    <xf numFmtId="176" fontId="105" fillId="0" borderId="0" applyFont="0" applyFill="0" applyBorder="0" applyAlignment="0" applyProtection="0"/>
    <xf numFmtId="235" fontId="104" fillId="0" borderId="0" applyFont="0" applyFill="0" applyBorder="0" applyAlignment="0" applyProtection="0"/>
    <xf numFmtId="174" fontId="105" fillId="0" borderId="0" applyFont="0" applyFill="0" applyBorder="0" applyAlignment="0" applyProtection="0"/>
    <xf numFmtId="192" fontId="33" fillId="0" borderId="0" applyFont="0" applyFill="0" applyBorder="0" applyAlignment="0" applyProtection="0"/>
    <xf numFmtId="234" fontId="104" fillId="0" borderId="0" applyFont="0" applyFill="0" applyBorder="0" applyAlignment="0" applyProtection="0"/>
    <xf numFmtId="23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43" fontId="104" fillId="0" borderId="0" applyFont="0" applyFill="0" applyBorder="0" applyAlignment="0" applyProtection="0"/>
    <xf numFmtId="230" fontId="104" fillId="0" borderId="0" applyFont="0" applyFill="0" applyBorder="0" applyAlignment="0" applyProtection="0"/>
    <xf numFmtId="173"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8" fontId="105"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7" fillId="0" borderId="0" applyFont="0" applyFill="0" applyBorder="0" applyAlignment="0" applyProtection="0"/>
    <xf numFmtId="226" fontId="105" fillId="0" borderId="0" applyFont="0" applyFill="0" applyBorder="0" applyAlignment="0" applyProtection="0"/>
    <xf numFmtId="225" fontId="54" fillId="0" borderId="0" applyFont="0" applyFill="0" applyBorder="0" applyAlignment="0" applyProtection="0"/>
    <xf numFmtId="178" fontId="105" fillId="0" borderId="0" applyFont="0" applyFill="0" applyBorder="0" applyAlignment="0" applyProtection="0"/>
    <xf numFmtId="227" fontId="54" fillId="0" borderId="0" applyFont="0" applyFill="0" applyBorder="0" applyAlignment="0" applyProtection="0"/>
    <xf numFmtId="177" fontId="54"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228" fontId="54" fillId="0" borderId="0" applyFont="0" applyFill="0" applyBorder="0" applyAlignment="0" applyProtection="0"/>
    <xf numFmtId="228" fontId="54" fillId="0" borderId="0" applyFont="0" applyFill="0" applyBorder="0" applyAlignment="0" applyProtection="0"/>
    <xf numFmtId="177" fontId="104" fillId="0" borderId="0" applyFont="0" applyFill="0" applyBorder="0" applyAlignment="0" applyProtection="0"/>
    <xf numFmtId="0" fontId="10" fillId="0" borderId="0" applyNumberFormat="0" applyFill="0" applyBorder="0" applyAlignment="0" applyProtection="0"/>
    <xf numFmtId="177" fontId="104" fillId="0" borderId="0" applyFont="0" applyFill="0" applyBorder="0" applyAlignment="0" applyProtection="0"/>
    <xf numFmtId="177" fontId="104" fillId="0" borderId="0" applyFont="0" applyFill="0" applyBorder="0" applyAlignment="0" applyProtection="0"/>
    <xf numFmtId="0" fontId="63" fillId="0" borderId="0"/>
    <xf numFmtId="0" fontId="10" fillId="0" borderId="0" applyNumberFormat="0" applyFill="0" applyBorder="0" applyAlignment="0" applyProtection="0"/>
    <xf numFmtId="0" fontId="10" fillId="0" borderId="0" applyNumberFormat="0" applyFill="0" applyBorder="0" applyAlignment="0" applyProtection="0"/>
    <xf numFmtId="177" fontId="104"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10" fillId="0" borderId="0" applyNumberFormat="0" applyFill="0" applyBorder="0" applyAlignment="0" applyProtection="0"/>
    <xf numFmtId="0" fontId="63" fillId="0" borderId="0"/>
    <xf numFmtId="0" fontId="41" fillId="0" borderId="0"/>
    <xf numFmtId="0" fontId="41" fillId="0" borderId="0"/>
    <xf numFmtId="173" fontId="104" fillId="0" borderId="0" applyFont="0" applyFill="0" applyBorder="0" applyAlignment="0" applyProtection="0"/>
    <xf numFmtId="204" fontId="106" fillId="0" borderId="0" applyFont="0" applyFill="0" applyBorder="0" applyAlignment="0" applyProtection="0"/>
    <xf numFmtId="181" fontId="107" fillId="0" borderId="0" applyFont="0" applyFill="0" applyBorder="0" applyAlignment="0" applyProtection="0"/>
    <xf numFmtId="180" fontId="107" fillId="0" borderId="0" applyFont="0" applyFill="0" applyBorder="0" applyAlignment="0" applyProtection="0"/>
    <xf numFmtId="0" fontId="108" fillId="0" borderId="0"/>
    <xf numFmtId="0" fontId="109" fillId="0" borderId="0"/>
    <xf numFmtId="0" fontId="109" fillId="0" borderId="0"/>
    <xf numFmtId="0" fontId="34" fillId="0" borderId="0"/>
    <xf numFmtId="1" fontId="110" fillId="0" borderId="1" applyBorder="0" applyAlignment="0">
      <alignment horizontal="center"/>
    </xf>
    <xf numFmtId="3" fontId="97" fillId="0" borderId="1"/>
    <xf numFmtId="3" fontId="97" fillId="0" borderId="1"/>
    <xf numFmtId="0" fontId="23" fillId="0" borderId="4" applyFont="0" applyAlignment="0">
      <alignment horizontal="left"/>
    </xf>
    <xf numFmtId="0" fontId="23" fillId="0" borderId="4" applyFont="0" applyAlignment="0">
      <alignment horizontal="left"/>
    </xf>
    <xf numFmtId="0" fontId="94" fillId="2" borderId="0"/>
    <xf numFmtId="0" fontId="24" fillId="2" borderId="0"/>
    <xf numFmtId="0" fontId="98" fillId="0" borderId="5" applyAlignment="0"/>
    <xf numFmtId="0" fontId="98" fillId="0" borderId="5" applyAlignment="0"/>
    <xf numFmtId="0" fontId="98" fillId="0" borderId="5" applyAlignment="0"/>
    <xf numFmtId="0" fontId="98" fillId="0" borderId="5" applyAlignment="0"/>
    <xf numFmtId="0" fontId="24" fillId="3" borderId="0"/>
    <xf numFmtId="0" fontId="24" fillId="2" borderId="0"/>
    <xf numFmtId="0" fontId="23" fillId="0" borderId="4" applyFont="0" applyAlignment="0">
      <alignment horizontal="left"/>
    </xf>
    <xf numFmtId="0" fontId="98" fillId="0" borderId="5" applyAlignment="0"/>
    <xf numFmtId="0" fontId="98" fillId="0" borderId="5" applyAlignment="0"/>
    <xf numFmtId="0" fontId="98" fillId="0" borderId="5" applyAlignment="0"/>
    <xf numFmtId="0" fontId="98" fillId="0" borderId="5" applyAlignment="0"/>
    <xf numFmtId="0" fontId="98" fillId="0" borderId="5" applyAlignment="0"/>
    <xf numFmtId="0" fontId="98" fillId="0" borderId="5" applyAlignment="0"/>
    <xf numFmtId="0" fontId="24" fillId="2" borderId="0"/>
    <xf numFmtId="0" fontId="24" fillId="2" borderId="0"/>
    <xf numFmtId="0" fontId="24" fillId="2" borderId="0"/>
    <xf numFmtId="0" fontId="23" fillId="0" borderId="4" applyFont="0" applyAlignment="0">
      <alignment horizontal="left"/>
    </xf>
    <xf numFmtId="0" fontId="94" fillId="2" borderId="0"/>
    <xf numFmtId="0" fontId="98" fillId="0" borderId="6" applyFill="0" applyAlignment="0"/>
    <xf numFmtId="0" fontId="24" fillId="3" borderId="0"/>
    <xf numFmtId="0" fontId="98" fillId="0" borderId="6" applyFill="0" applyAlignment="0"/>
    <xf numFmtId="0" fontId="24" fillId="2" borderId="0"/>
    <xf numFmtId="0" fontId="24" fillId="2" borderId="0"/>
    <xf numFmtId="0" fontId="98" fillId="0" borderId="5" applyAlignment="0"/>
    <xf numFmtId="0" fontId="98" fillId="0" borderId="5" applyAlignment="0"/>
    <xf numFmtId="0" fontId="94" fillId="2" borderId="0"/>
    <xf numFmtId="204" fontId="106" fillId="0" borderId="0" applyFont="0" applyFill="0" applyBorder="0" applyAlignment="0" applyProtection="0"/>
    <xf numFmtId="0" fontId="98" fillId="0" borderId="5" applyAlignment="0"/>
    <xf numFmtId="0" fontId="98" fillId="0" borderId="5" applyAlignment="0"/>
    <xf numFmtId="0" fontId="98" fillId="0" borderId="5" applyAlignment="0"/>
    <xf numFmtId="0" fontId="23" fillId="0" borderId="4" applyFont="0" applyAlignment="0">
      <alignment horizontal="left"/>
    </xf>
    <xf numFmtId="204" fontId="106" fillId="0" borderId="0" applyFont="0" applyFill="0" applyBorder="0" applyAlignment="0" applyProtection="0"/>
    <xf numFmtId="204" fontId="106" fillId="0" borderId="0" applyFont="0" applyFill="0" applyBorder="0" applyAlignment="0" applyProtection="0"/>
    <xf numFmtId="0" fontId="12" fillId="2" borderId="0"/>
    <xf numFmtId="0" fontId="24" fillId="2" borderId="0"/>
    <xf numFmtId="0" fontId="94" fillId="2" borderId="0"/>
    <xf numFmtId="0" fontId="24" fillId="2" borderId="0"/>
    <xf numFmtId="0" fontId="23" fillId="0" borderId="4" applyFont="0" applyAlignment="0">
      <alignment horizontal="left"/>
    </xf>
    <xf numFmtId="0" fontId="94" fillId="2" borderId="0"/>
    <xf numFmtId="0" fontId="23" fillId="0" borderId="4" applyFont="0" applyAlignment="0">
      <alignment horizontal="left"/>
    </xf>
    <xf numFmtId="0" fontId="98" fillId="0" borderId="5" applyAlignment="0"/>
    <xf numFmtId="0" fontId="98" fillId="0" borderId="5" applyAlignment="0"/>
    <xf numFmtId="0" fontId="111" fillId="0" borderId="0" applyFont="0" applyFill="0" applyBorder="0" applyAlignment="0">
      <alignment horizontal="left"/>
    </xf>
    <xf numFmtId="0" fontId="24" fillId="2" borderId="0"/>
    <xf numFmtId="0" fontId="23" fillId="0" borderId="4" applyFont="0" applyAlignment="0">
      <alignment horizontal="left"/>
    </xf>
    <xf numFmtId="0" fontId="24" fillId="2" borderId="0"/>
    <xf numFmtId="0" fontId="94" fillId="2" borderId="0"/>
    <xf numFmtId="0" fontId="24" fillId="2" borderId="0"/>
    <xf numFmtId="0" fontId="12" fillId="0" borderId="6" applyAlignment="0"/>
    <xf numFmtId="0" fontId="12" fillId="0" borderId="6" applyAlignment="0"/>
    <xf numFmtId="0" fontId="12" fillId="0" borderId="6" applyAlignment="0"/>
    <xf numFmtId="0" fontId="12" fillId="0" borderId="6" applyAlignment="0"/>
    <xf numFmtId="0" fontId="12" fillId="0" borderId="6" applyAlignment="0"/>
    <xf numFmtId="0" fontId="12" fillId="0" borderId="6" applyAlignment="0"/>
    <xf numFmtId="0" fontId="23" fillId="0" borderId="4" applyFont="0" applyAlignment="0">
      <alignment horizontal="left"/>
    </xf>
    <xf numFmtId="0" fontId="98" fillId="0" borderId="5" applyAlignment="0"/>
    <xf numFmtId="0" fontId="98" fillId="0" borderId="5" applyAlignment="0"/>
    <xf numFmtId="0" fontId="94" fillId="2" borderId="0"/>
    <xf numFmtId="0" fontId="94" fillId="2" borderId="0"/>
    <xf numFmtId="0" fontId="24" fillId="2" borderId="0"/>
    <xf numFmtId="0" fontId="24" fillId="2" borderId="0"/>
    <xf numFmtId="0" fontId="23" fillId="0" borderId="4" applyFont="0" applyAlignment="0">
      <alignment horizontal="left"/>
    </xf>
    <xf numFmtId="0" fontId="98" fillId="0" borderId="5" applyAlignment="0"/>
    <xf numFmtId="0" fontId="112" fillId="0" borderId="1" applyNumberFormat="0" applyFont="0" applyBorder="0">
      <alignment horizontal="left" indent="2"/>
    </xf>
    <xf numFmtId="0" fontId="111" fillId="0" borderId="0" applyFont="0" applyFill="0" applyBorder="0" applyAlignment="0">
      <alignment horizontal="left"/>
    </xf>
    <xf numFmtId="0" fontId="112" fillId="0" borderId="1" applyNumberFormat="0" applyFont="0" applyBorder="0">
      <alignment horizontal="left" indent="2"/>
    </xf>
    <xf numFmtId="0" fontId="24" fillId="2" borderId="0"/>
    <xf numFmtId="0" fontId="24" fillId="2" borderId="0"/>
    <xf numFmtId="0" fontId="25" fillId="0" borderId="0"/>
    <xf numFmtId="0" fontId="113" fillId="4" borderId="7" applyFont="0" applyFill="0" applyAlignment="0">
      <alignment vertical="center" wrapText="1"/>
    </xf>
    <xf numFmtId="9" fontId="114" fillId="0" borderId="0" applyBorder="0" applyAlignment="0" applyProtection="0"/>
    <xf numFmtId="0" fontId="26" fillId="2" borderId="0"/>
    <xf numFmtId="0" fontId="94" fillId="2" borderId="0"/>
    <xf numFmtId="0" fontId="26" fillId="3" borderId="0"/>
    <xf numFmtId="0" fontId="12" fillId="0" borderId="5" applyNumberFormat="0" applyFill="0"/>
    <xf numFmtId="0" fontId="94" fillId="2" borderId="0"/>
    <xf numFmtId="0" fontId="12" fillId="0" borderId="5" applyNumberFormat="0" applyFill="0"/>
    <xf numFmtId="0" fontId="12" fillId="0" borderId="5" applyNumberFormat="0" applyFill="0"/>
    <xf numFmtId="0" fontId="12" fillId="0" borderId="5" applyNumberFormat="0" applyFill="0"/>
    <xf numFmtId="0" fontId="26" fillId="2" borderId="0"/>
    <xf numFmtId="0" fontId="12" fillId="0" borderId="5" applyNumberFormat="0" applyFill="0"/>
    <xf numFmtId="0" fontId="94" fillId="2" borderId="0"/>
    <xf numFmtId="0" fontId="12" fillId="2" borderId="0"/>
    <xf numFmtId="0" fontId="94" fillId="2" borderId="0"/>
    <xf numFmtId="0" fontId="94" fillId="2" borderId="0"/>
    <xf numFmtId="0" fontId="26" fillId="2" borderId="0"/>
    <xf numFmtId="0" fontId="94" fillId="2" borderId="0"/>
    <xf numFmtId="0" fontId="12" fillId="0" borderId="5" applyNumberFormat="0" applyAlignment="0"/>
    <xf numFmtId="0" fontId="12" fillId="0" borderId="5" applyNumberFormat="0" applyAlignment="0"/>
    <xf numFmtId="0" fontId="12" fillId="0" borderId="5" applyNumberFormat="0" applyAlignment="0"/>
    <xf numFmtId="0" fontId="12" fillId="0" borderId="5" applyNumberFormat="0" applyAlignment="0"/>
    <xf numFmtId="0" fontId="12" fillId="0" borderId="5" applyNumberFormat="0" applyAlignment="0"/>
    <xf numFmtId="0" fontId="12" fillId="0" borderId="5" applyNumberFormat="0" applyAlignment="0"/>
    <xf numFmtId="0" fontId="94" fillId="2" borderId="0"/>
    <xf numFmtId="0" fontId="94" fillId="2" borderId="0"/>
    <xf numFmtId="0" fontId="12" fillId="0" borderId="5" applyNumberFormat="0" applyFill="0"/>
    <xf numFmtId="0" fontId="12" fillId="0" borderId="5" applyNumberFormat="0" applyFill="0"/>
    <xf numFmtId="0" fontId="12" fillId="0" borderId="5" applyNumberFormat="0" applyFill="0"/>
    <xf numFmtId="0" fontId="12" fillId="0" borderId="5" applyNumberFormat="0" applyFill="0"/>
    <xf numFmtId="0" fontId="12" fillId="0" borderId="5" applyNumberFormat="0" applyFill="0"/>
    <xf numFmtId="0" fontId="26" fillId="2" borderId="0"/>
    <xf numFmtId="0" fontId="26" fillId="2" borderId="0"/>
    <xf numFmtId="0" fontId="26" fillId="2" borderId="0"/>
    <xf numFmtId="0" fontId="112" fillId="0" borderId="1" applyNumberFormat="0" applyFont="0" applyBorder="0" applyAlignment="0">
      <alignment horizontal="center"/>
    </xf>
    <xf numFmtId="0" fontId="112" fillId="0" borderId="1" applyNumberFormat="0" applyFont="0" applyBorder="0" applyAlignment="0">
      <alignment horizontal="center"/>
    </xf>
    <xf numFmtId="0" fontId="12" fillId="0" borderId="0"/>
    <xf numFmtId="0" fontId="115" fillId="5" borderId="0" applyNumberFormat="0" applyBorder="0" applyAlignment="0" applyProtection="0"/>
    <xf numFmtId="0" fontId="115" fillId="6" borderId="0" applyNumberFormat="0" applyBorder="0" applyAlignment="0" applyProtection="0"/>
    <xf numFmtId="0" fontId="115" fillId="7" borderId="0" applyNumberFormat="0" applyBorder="0" applyAlignment="0" applyProtection="0"/>
    <xf numFmtId="0" fontId="115" fillId="8" borderId="0" applyNumberFormat="0" applyBorder="0" applyAlignment="0" applyProtection="0"/>
    <xf numFmtId="0" fontId="115" fillId="9" borderId="0" applyNumberFormat="0" applyBorder="0" applyAlignment="0" applyProtection="0"/>
    <xf numFmtId="0" fontId="115" fillId="10" borderId="0" applyNumberFormat="0" applyBorder="0" applyAlignment="0" applyProtection="0"/>
    <xf numFmtId="0" fontId="76" fillId="5" borderId="0" applyNumberFormat="0" applyBorder="0" applyAlignment="0" applyProtection="0"/>
    <xf numFmtId="0" fontId="76" fillId="6" borderId="0" applyNumberFormat="0" applyBorder="0" applyAlignment="0" applyProtection="0"/>
    <xf numFmtId="0" fontId="76"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 fillId="0" borderId="0"/>
    <xf numFmtId="0" fontId="27" fillId="2" borderId="0"/>
    <xf numFmtId="0" fontId="94" fillId="2" borderId="0"/>
    <xf numFmtId="0" fontId="27" fillId="3" borderId="0"/>
    <xf numFmtId="0" fontId="94" fillId="2" borderId="0"/>
    <xf numFmtId="0" fontId="94" fillId="2" borderId="0"/>
    <xf numFmtId="0" fontId="12" fillId="2" borderId="0"/>
    <xf numFmtId="0" fontId="94" fillId="2" borderId="0"/>
    <xf numFmtId="0" fontId="94" fillId="2" borderId="0"/>
    <xf numFmtId="0" fontId="27" fillId="2" borderId="0"/>
    <xf numFmtId="0" fontId="94" fillId="2" borderId="0"/>
    <xf numFmtId="0" fontId="94" fillId="2" borderId="0"/>
    <xf numFmtId="0" fontId="94" fillId="2" borderId="0"/>
    <xf numFmtId="0" fontId="27" fillId="2" borderId="0"/>
    <xf numFmtId="0" fontId="27" fillId="2" borderId="0"/>
    <xf numFmtId="0" fontId="28" fillId="0" borderId="0">
      <alignment wrapText="1"/>
    </xf>
    <xf numFmtId="0" fontId="94" fillId="0" borderId="0">
      <alignment wrapText="1"/>
    </xf>
    <xf numFmtId="0" fontId="28" fillId="0" borderId="0">
      <alignment wrapText="1"/>
    </xf>
    <xf numFmtId="0" fontId="94" fillId="0" borderId="0">
      <alignment wrapText="1"/>
    </xf>
    <xf numFmtId="0" fontId="94" fillId="0" borderId="0">
      <alignment wrapText="1"/>
    </xf>
    <xf numFmtId="0" fontId="12" fillId="0" borderId="0">
      <alignment wrapText="1"/>
    </xf>
    <xf numFmtId="0" fontId="94" fillId="0" borderId="0">
      <alignment wrapText="1"/>
    </xf>
    <xf numFmtId="0" fontId="94" fillId="0" borderId="0">
      <alignment wrapText="1"/>
    </xf>
    <xf numFmtId="0" fontId="28" fillId="0" borderId="0">
      <alignment wrapText="1"/>
    </xf>
    <xf numFmtId="0" fontId="94" fillId="0" borderId="0">
      <alignment wrapText="1"/>
    </xf>
    <xf numFmtId="0" fontId="94" fillId="0" borderId="0">
      <alignment wrapText="1"/>
    </xf>
    <xf numFmtId="0" fontId="94" fillId="0" borderId="0">
      <alignment wrapText="1"/>
    </xf>
    <xf numFmtId="0" fontId="28" fillId="0" borderId="0">
      <alignment wrapText="1"/>
    </xf>
    <xf numFmtId="0" fontId="115" fillId="11"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8" borderId="0" applyNumberFormat="0" applyBorder="0" applyAlignment="0" applyProtection="0"/>
    <xf numFmtId="0" fontId="115" fillId="11" borderId="0" applyNumberFormat="0" applyBorder="0" applyAlignment="0" applyProtection="0"/>
    <xf numFmtId="0" fontId="115" fillId="14" borderId="0" applyNumberFormat="0" applyBorder="0" applyAlignment="0" applyProtection="0"/>
    <xf numFmtId="0" fontId="76"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76" fillId="8" borderId="0" applyNumberFormat="0" applyBorder="0" applyAlignment="0" applyProtection="0"/>
    <xf numFmtId="0" fontId="76" fillId="11" borderId="0" applyNumberFormat="0" applyBorder="0" applyAlignment="0" applyProtection="0"/>
    <xf numFmtId="0" fontId="76" fillId="14" borderId="0" applyNumberFormat="0" applyBorder="0" applyAlignment="0" applyProtection="0"/>
    <xf numFmtId="179" fontId="116" fillId="0" borderId="8" applyNumberFormat="0" applyFont="0" applyBorder="0" applyAlignment="0">
      <alignment horizontal="center" vertical="center"/>
    </xf>
    <xf numFmtId="0" fontId="10" fillId="0" borderId="0"/>
    <xf numFmtId="0" fontId="10" fillId="0" borderId="0"/>
    <xf numFmtId="0" fontId="10" fillId="0" borderId="0"/>
    <xf numFmtId="0" fontId="12" fillId="0" borderId="0"/>
    <xf numFmtId="0" fontId="10" fillId="0" borderId="0"/>
    <xf numFmtId="0" fontId="117" fillId="15" borderId="0" applyNumberFormat="0" applyBorder="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18" borderId="0" applyNumberFormat="0" applyBorder="0" applyAlignment="0" applyProtection="0"/>
    <xf numFmtId="0" fontId="80" fillId="15"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96" fillId="0" borderId="0"/>
    <xf numFmtId="0" fontId="117" fillId="19"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2" borderId="0" applyNumberFormat="0" applyBorder="0" applyAlignment="0" applyProtection="0"/>
    <xf numFmtId="253" fontId="7" fillId="0" borderId="0" applyFont="0" applyFill="0" applyBorder="0" applyAlignment="0" applyProtection="0"/>
    <xf numFmtId="0" fontId="15" fillId="0" borderId="0" applyFont="0" applyFill="0" applyBorder="0" applyAlignment="0" applyProtection="0"/>
    <xf numFmtId="254" fontId="54" fillId="0" borderId="0" applyFont="0" applyFill="0" applyBorder="0" applyAlignment="0" applyProtection="0"/>
    <xf numFmtId="255" fontId="7" fillId="0" borderId="0" applyFont="0" applyFill="0" applyBorder="0" applyAlignment="0" applyProtection="0"/>
    <xf numFmtId="0" fontId="15" fillId="0" borderId="0" applyFont="0" applyFill="0" applyBorder="0" applyAlignment="0" applyProtection="0"/>
    <xf numFmtId="253" fontId="54" fillId="0" borderId="0" applyFont="0" applyFill="0" applyBorder="0" applyAlignment="0" applyProtection="0"/>
    <xf numFmtId="0" fontId="118" fillId="0" borderId="0">
      <alignment horizontal="center" wrapText="1"/>
      <protection locked="0"/>
    </xf>
    <xf numFmtId="0" fontId="119" fillId="0" borderId="0" applyNumberFormat="0" applyBorder="0" applyAlignment="0">
      <alignment horizontal="center"/>
    </xf>
    <xf numFmtId="184" fontId="120" fillId="0" borderId="0" applyFont="0" applyFill="0" applyBorder="0" applyAlignment="0" applyProtection="0"/>
    <xf numFmtId="0" fontId="15" fillId="0" borderId="0" applyFont="0" applyFill="0" applyBorder="0" applyAlignment="0" applyProtection="0"/>
    <xf numFmtId="184" fontId="120" fillId="0" borderId="0" applyFont="0" applyFill="0" applyBorder="0" applyAlignment="0" applyProtection="0"/>
    <xf numFmtId="205" fontId="120" fillId="0" borderId="0" applyFont="0" applyFill="0" applyBorder="0" applyAlignment="0" applyProtection="0"/>
    <xf numFmtId="0" fontId="15" fillId="0" borderId="0" applyFont="0" applyFill="0" applyBorder="0" applyAlignment="0" applyProtection="0"/>
    <xf numFmtId="205" fontId="120" fillId="0" borderId="0" applyFont="0" applyFill="0" applyBorder="0" applyAlignment="0" applyProtection="0"/>
    <xf numFmtId="173" fontId="54" fillId="0" borderId="0" applyFont="0" applyFill="0" applyBorder="0" applyAlignment="0" applyProtection="0"/>
    <xf numFmtId="0" fontId="93" fillId="0" borderId="0"/>
    <xf numFmtId="0" fontId="7" fillId="0" borderId="0"/>
    <xf numFmtId="0" fontId="7" fillId="0" borderId="0"/>
    <xf numFmtId="0" fontId="7" fillId="0" borderId="0"/>
    <xf numFmtId="0" fontId="7" fillId="0" borderId="0"/>
    <xf numFmtId="0" fontId="93" fillId="0" borderId="0"/>
    <xf numFmtId="0" fontId="121" fillId="6" borderId="0" applyNumberFormat="0" applyBorder="0" applyAlignment="0" applyProtection="0"/>
    <xf numFmtId="0" fontId="122" fillId="0" borderId="0" applyNumberFormat="0" applyFill="0" applyBorder="0" applyAlignment="0" applyProtection="0"/>
    <xf numFmtId="0" fontId="15" fillId="0" borderId="0"/>
    <xf numFmtId="0" fontId="33" fillId="0" borderId="0"/>
    <xf numFmtId="0" fontId="34" fillId="0" borderId="0"/>
    <xf numFmtId="0" fontId="15" fillId="0" borderId="0"/>
    <xf numFmtId="0" fontId="123" fillId="0" borderId="0"/>
    <xf numFmtId="0" fontId="124" fillId="0" borderId="0"/>
    <xf numFmtId="0" fontId="125" fillId="0" borderId="0"/>
    <xf numFmtId="0" fontId="1" fillId="0" borderId="0" applyFill="0" applyBorder="0" applyAlignment="0"/>
    <xf numFmtId="199" fontId="30" fillId="0" borderId="0" applyFill="0" applyBorder="0" applyAlignment="0"/>
    <xf numFmtId="186" fontId="30" fillId="0" borderId="0" applyFill="0" applyBorder="0" applyAlignment="0"/>
    <xf numFmtId="200" fontId="30" fillId="0" borderId="0" applyFill="0" applyBorder="0" applyAlignment="0"/>
    <xf numFmtId="201" fontId="1" fillId="0" borderId="0" applyFill="0" applyBorder="0" applyAlignment="0"/>
    <xf numFmtId="178" fontId="30" fillId="0" borderId="0" applyFill="0" applyBorder="0" applyAlignment="0"/>
    <xf numFmtId="202" fontId="30" fillId="0" borderId="0" applyFill="0" applyBorder="0" applyAlignment="0"/>
    <xf numFmtId="199" fontId="30" fillId="0" borderId="0" applyFill="0" applyBorder="0" applyAlignment="0"/>
    <xf numFmtId="0" fontId="126" fillId="23" borderId="9" applyNumberFormat="0" applyAlignment="0" applyProtection="0"/>
    <xf numFmtId="0" fontId="31" fillId="0" borderId="0"/>
    <xf numFmtId="256" fontId="104" fillId="0" borderId="0" applyFont="0" applyFill="0" applyBorder="0" applyAlignment="0" applyProtection="0"/>
    <xf numFmtId="0" fontId="127" fillId="24" borderId="10" applyNumberFormat="0" applyAlignment="0" applyProtection="0"/>
    <xf numFmtId="179" fontId="128" fillId="0" borderId="0" applyFont="0" applyFill="0" applyBorder="0" applyAlignment="0" applyProtection="0"/>
    <xf numFmtId="4" fontId="129" fillId="0" borderId="0" applyAlignment="0"/>
    <xf numFmtId="0" fontId="130" fillId="0" borderId="0"/>
    <xf numFmtId="1" fontId="32" fillId="0" borderId="11" applyBorder="0"/>
    <xf numFmtId="229" fontId="131" fillId="0" borderId="0" applyFont="0" applyFill="0" applyBorder="0" applyAlignment="0" applyProtection="0"/>
    <xf numFmtId="170" fontId="1" fillId="0" borderId="0" applyFont="0" applyFill="0" applyBorder="0" applyAlignment="0" applyProtection="0"/>
    <xf numFmtId="257" fontId="132" fillId="0" borderId="0"/>
    <xf numFmtId="257" fontId="132" fillId="0" borderId="0"/>
    <xf numFmtId="257" fontId="132" fillId="0" borderId="0"/>
    <xf numFmtId="257" fontId="132" fillId="0" borderId="0"/>
    <xf numFmtId="257" fontId="132" fillId="0" borderId="0"/>
    <xf numFmtId="257" fontId="132" fillId="0" borderId="0"/>
    <xf numFmtId="257" fontId="132" fillId="0" borderId="0"/>
    <xf numFmtId="257" fontId="132" fillId="0" borderId="0"/>
    <xf numFmtId="258" fontId="98" fillId="0" borderId="0" applyFill="0" applyBorder="0" applyAlignment="0" applyProtection="0"/>
    <xf numFmtId="168" fontId="76" fillId="0" borderId="0" applyFont="0" applyFill="0" applyBorder="0" applyAlignment="0" applyProtection="0"/>
    <xf numFmtId="41" fontId="220" fillId="0" borderId="0" applyFont="0" applyFill="0" applyBorder="0" applyAlignment="0" applyProtection="0"/>
    <xf numFmtId="258" fontId="98" fillId="0" borderId="0" applyFill="0" applyBorder="0" applyAlignment="0" applyProtection="0"/>
    <xf numFmtId="258" fontId="98" fillId="0" borderId="0" applyFill="0" applyBorder="0" applyAlignment="0" applyProtection="0"/>
    <xf numFmtId="41" fontId="128" fillId="0" borderId="0" applyFont="0" applyFill="0" applyBorder="0" applyAlignment="0" applyProtection="0"/>
    <xf numFmtId="259" fontId="76" fillId="0" borderId="0" applyFont="0" applyFill="0" applyBorder="0" applyAlignment="0" applyProtection="0"/>
    <xf numFmtId="178" fontId="30"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63" fontId="7" fillId="0" borderId="0" applyFill="0" applyBorder="0" applyAlignment="0" applyProtection="0"/>
    <xf numFmtId="170" fontId="7" fillId="0" borderId="0" applyFont="0" applyFill="0" applyBorder="0" applyAlignment="0" applyProtection="0"/>
    <xf numFmtId="180" fontId="69" fillId="0" borderId="0" applyFont="0" applyFill="0" applyBorder="0" applyAlignment="0" applyProtection="0"/>
    <xf numFmtId="210" fontId="76" fillId="0" borderId="0" applyFont="0" applyFill="0" applyBorder="0" applyAlignment="0" applyProtection="0"/>
    <xf numFmtId="180" fontId="69" fillId="0" borderId="0" applyFont="0" applyFill="0" applyBorder="0" applyAlignment="0" applyProtection="0"/>
    <xf numFmtId="170" fontId="76" fillId="0" borderId="0" applyFont="0" applyFill="0" applyBorder="0" applyAlignment="0" applyProtection="0"/>
    <xf numFmtId="177" fontId="76" fillId="0" borderId="0" applyFont="0" applyFill="0" applyBorder="0" applyAlignment="0" applyProtection="0"/>
    <xf numFmtId="177" fontId="76" fillId="0" borderId="0" applyFont="0" applyFill="0" applyBorder="0" applyAlignment="0" applyProtection="0"/>
    <xf numFmtId="177" fontId="76" fillId="0" borderId="0" applyFont="0" applyFill="0" applyBorder="0" applyAlignment="0" applyProtection="0"/>
    <xf numFmtId="170" fontId="7" fillId="0" borderId="0" applyFont="0" applyFill="0" applyBorder="0" applyAlignment="0" applyProtection="0"/>
    <xf numFmtId="170" fontId="76" fillId="0" borderId="0" applyFont="0" applyFill="0" applyBorder="0" applyAlignment="0" applyProtection="0"/>
    <xf numFmtId="170" fontId="7" fillId="0" borderId="0" applyFont="0" applyFill="0" applyBorder="0" applyAlignment="0" applyProtection="0"/>
    <xf numFmtId="168" fontId="23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8" fontId="233" fillId="0" borderId="0" applyFont="0" applyFill="0" applyBorder="0" applyAlignment="0" applyProtection="0"/>
    <xf numFmtId="260" fontId="76" fillId="0" borderId="0" applyFont="0" applyFill="0" applyBorder="0" applyAlignment="0" applyProtection="0"/>
    <xf numFmtId="176" fontId="232" fillId="0" borderId="0" applyFont="0" applyFill="0" applyBorder="0" applyAlignment="0" applyProtection="0"/>
    <xf numFmtId="261" fontId="7" fillId="0" borderId="0" applyFont="0" applyFill="0" applyBorder="0" applyAlignment="0" applyProtection="0"/>
    <xf numFmtId="5" fontId="96" fillId="0" borderId="0" applyFont="0" applyFill="0" applyBorder="0" applyAlignment="0" applyProtection="0"/>
    <xf numFmtId="262" fontId="7" fillId="0" borderId="0" applyFont="0" applyFill="0" applyBorder="0" applyAlignment="0" applyProtection="0"/>
    <xf numFmtId="213" fontId="7" fillId="0" borderId="0" applyFont="0" applyFill="0" applyBorder="0" applyAlignment="0" applyProtection="0"/>
    <xf numFmtId="263" fontId="7" fillId="0" borderId="0" applyFill="0" applyBorder="0" applyAlignment="0" applyProtection="0"/>
    <xf numFmtId="210" fontId="7"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260" fontId="7" fillId="0" borderId="0" applyFont="0" applyFill="0" applyBorder="0" applyAlignment="0" applyProtection="0"/>
    <xf numFmtId="177" fontId="7" fillId="0" borderId="0" applyFont="0" applyFill="0" applyBorder="0" applyAlignment="0" applyProtection="0"/>
    <xf numFmtId="214" fontId="7" fillId="0" borderId="0" applyFont="0" applyFill="0" applyBorder="0" applyAlignment="0" applyProtection="0"/>
    <xf numFmtId="260" fontId="7" fillId="0" borderId="0" applyFont="0" applyFill="0" applyBorder="0" applyAlignment="0" applyProtection="0"/>
    <xf numFmtId="213" fontId="7" fillId="0" borderId="0" applyFont="0" applyFill="0" applyBorder="0" applyAlignment="0" applyProtection="0"/>
    <xf numFmtId="170" fontId="7"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0" fontId="7" fillId="0" borderId="0" applyFont="0" applyFill="0" applyBorder="0" applyAlignment="0" applyProtection="0"/>
    <xf numFmtId="172" fontId="10" fillId="0" borderId="0" applyFont="0" applyFill="0" applyBorder="0" applyAlignment="0" applyProtection="0"/>
    <xf numFmtId="179" fontId="7" fillId="0" borderId="0" applyFont="0" applyFill="0" applyBorder="0" applyAlignment="0" applyProtection="0"/>
    <xf numFmtId="170" fontId="9" fillId="0" borderId="0" applyFont="0" applyFill="0" applyBorder="0" applyAlignment="0" applyProtection="0"/>
    <xf numFmtId="263" fontId="98" fillId="0" borderId="0" applyFill="0" applyBorder="0" applyAlignment="0" applyProtection="0"/>
    <xf numFmtId="211" fontId="69" fillId="0" borderId="0" applyFont="0" applyFill="0" applyBorder="0" applyAlignment="0" applyProtection="0"/>
    <xf numFmtId="170" fontId="232" fillId="0" borderId="0" applyFont="0" applyFill="0" applyBorder="0" applyAlignment="0" applyProtection="0"/>
    <xf numFmtId="211" fontId="69" fillId="0" borderId="0" applyFont="0" applyFill="0" applyBorder="0" applyAlignment="0" applyProtection="0"/>
    <xf numFmtId="170" fontId="234" fillId="0" borderId="0" applyFont="0" applyFill="0" applyBorder="0" applyAlignment="0" applyProtection="0"/>
    <xf numFmtId="170" fontId="234" fillId="0" borderId="0" applyFont="0" applyFill="0" applyBorder="0" applyAlignment="0" applyProtection="0"/>
    <xf numFmtId="170" fontId="234" fillId="0" borderId="0" applyFont="0" applyFill="0" applyBorder="0" applyAlignment="0" applyProtection="0"/>
    <xf numFmtId="170" fontId="234" fillId="0" borderId="0" applyFont="0" applyFill="0" applyBorder="0" applyAlignment="0" applyProtection="0"/>
    <xf numFmtId="170" fontId="232" fillId="0" borderId="0" applyFont="0" applyFill="0" applyBorder="0" applyAlignment="0" applyProtection="0"/>
    <xf numFmtId="211" fontId="69" fillId="0" borderId="0" applyFont="0" applyFill="0" applyBorder="0" applyAlignment="0" applyProtection="0"/>
    <xf numFmtId="43" fontId="235" fillId="0" borderId="0" applyFont="0" applyFill="0" applyBorder="0" applyAlignment="0" applyProtection="0"/>
    <xf numFmtId="170" fontId="232" fillId="0" borderId="0" applyFont="0" applyFill="0" applyBorder="0" applyAlignment="0" applyProtection="0"/>
    <xf numFmtId="170" fontId="7" fillId="0" borderId="0" applyFont="0" applyFill="0" applyBorder="0" applyAlignment="0" applyProtection="0"/>
    <xf numFmtId="263" fontId="7" fillId="0" borderId="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9" fontId="7" fillId="0" borderId="0" applyFont="0" applyFill="0" applyBorder="0" applyAlignment="0" applyProtection="0"/>
    <xf numFmtId="170" fontId="76" fillId="0" borderId="0" applyFont="0" applyFill="0" applyBorder="0" applyAlignment="0" applyProtection="0"/>
    <xf numFmtId="176" fontId="76" fillId="0" borderId="0" applyFont="0" applyFill="0" applyBorder="0" applyAlignment="0" applyProtection="0"/>
    <xf numFmtId="218" fontId="22" fillId="0" borderId="0" applyProtection="0"/>
    <xf numFmtId="179" fontId="76" fillId="0" borderId="0" applyFont="0" applyFill="0" applyBorder="0" applyAlignment="0" applyProtection="0"/>
    <xf numFmtId="179" fontId="76" fillId="0" borderId="0" applyFont="0" applyFill="0" applyBorder="0" applyAlignment="0" applyProtection="0"/>
    <xf numFmtId="261" fontId="76" fillId="0" borderId="0" applyFont="0" applyFill="0" applyBorder="0" applyAlignment="0" applyProtection="0"/>
    <xf numFmtId="168" fontId="233"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43" fontId="9" fillId="0" borderId="0" applyFont="0" applyFill="0" applyBorder="0" applyAlignment="0" applyProtection="0"/>
    <xf numFmtId="179" fontId="76" fillId="0" borderId="0" applyFont="0" applyFill="0" applyBorder="0" applyAlignment="0" applyProtection="0"/>
    <xf numFmtId="179" fontId="76" fillId="0" borderId="0" applyFont="0" applyFill="0" applyBorder="0" applyAlignment="0" applyProtection="0"/>
    <xf numFmtId="179" fontId="76" fillId="0" borderId="0" applyFont="0" applyFill="0" applyBorder="0" applyAlignment="0" applyProtection="0"/>
    <xf numFmtId="179" fontId="76" fillId="0" borderId="0" applyFont="0" applyFill="0" applyBorder="0" applyAlignment="0" applyProtection="0"/>
    <xf numFmtId="179"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176" fontId="76" fillId="0" borderId="0" applyFont="0" applyFill="0" applyBorder="0" applyAlignment="0" applyProtection="0"/>
    <xf numFmtId="170" fontId="76" fillId="0" borderId="0" applyFont="0" applyFill="0" applyBorder="0" applyAlignment="0" applyProtection="0"/>
    <xf numFmtId="0" fontId="94"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3" fontId="76" fillId="0" borderId="0" applyFont="0" applyFill="0" applyBorder="0" applyAlignment="0" applyProtection="0"/>
    <xf numFmtId="213" fontId="76" fillId="0" borderId="0" applyFont="0" applyFill="0" applyBorder="0" applyAlignment="0" applyProtection="0"/>
    <xf numFmtId="264" fontId="9" fillId="0" borderId="0" applyFont="0" applyFill="0" applyBorder="0" applyAlignment="0" applyProtection="0"/>
    <xf numFmtId="260" fontId="133" fillId="0" borderId="0" applyFont="0" applyFill="0" applyBorder="0" applyAlignment="0" applyProtection="0"/>
    <xf numFmtId="170" fontId="76" fillId="0" borderId="0" applyFont="0" applyFill="0" applyBorder="0" applyAlignment="0" applyProtection="0"/>
    <xf numFmtId="176" fontId="76" fillId="0" borderId="0" applyFont="0" applyFill="0" applyBorder="0" applyAlignment="0" applyProtection="0"/>
    <xf numFmtId="180" fontId="233" fillId="0" borderId="0" applyFont="0" applyFill="0" applyBorder="0" applyAlignment="0" applyProtection="0"/>
    <xf numFmtId="180" fontId="233" fillId="0" borderId="0" applyFont="0" applyFill="0" applyBorder="0" applyAlignment="0" applyProtection="0"/>
    <xf numFmtId="180" fontId="233" fillId="0" borderId="0" applyFont="0" applyFill="0" applyBorder="0" applyAlignment="0" applyProtection="0"/>
    <xf numFmtId="179" fontId="233" fillId="0" borderId="0" applyFont="0" applyFill="0" applyBorder="0" applyAlignment="0" applyProtection="0"/>
    <xf numFmtId="168" fontId="233" fillId="0" borderId="0" applyFont="0" applyFill="0" applyBorder="0" applyAlignment="0" applyProtection="0"/>
    <xf numFmtId="168" fontId="233" fillId="0" borderId="0" applyFont="0" applyFill="0" applyBorder="0" applyAlignment="0" applyProtection="0"/>
    <xf numFmtId="176" fontId="232" fillId="0" borderId="0" applyFont="0" applyFill="0" applyBorder="0" applyAlignment="0" applyProtection="0"/>
    <xf numFmtId="265" fontId="12" fillId="0" borderId="0" applyFont="0" applyFill="0" applyBorder="0" applyAlignment="0" applyProtection="0"/>
    <xf numFmtId="5" fontId="9" fillId="0" borderId="0" applyFont="0" applyFill="0" applyBorder="0" applyAlignment="0" applyProtection="0"/>
    <xf numFmtId="170" fontId="9" fillId="0" borderId="0" applyFont="0" applyFill="0" applyBorder="0" applyAlignment="0" applyProtection="0"/>
    <xf numFmtId="170" fontId="12" fillId="0" borderId="0" applyFont="0" applyFill="0" applyBorder="0" applyAlignment="0" applyProtection="0"/>
    <xf numFmtId="7" fontId="69" fillId="0" borderId="0" applyFont="0" applyFill="0" applyBorder="0" applyAlignment="0" applyProtection="0"/>
    <xf numFmtId="7" fontId="69" fillId="0" borderId="0" applyFont="0" applyFill="0" applyBorder="0" applyAlignment="0" applyProtection="0"/>
    <xf numFmtId="209" fontId="69" fillId="0" borderId="0" applyFont="0" applyFill="0" applyBorder="0" applyAlignment="0" applyProtection="0"/>
    <xf numFmtId="212" fontId="69" fillId="0" borderId="0" applyFont="0" applyFill="0" applyBorder="0" applyAlignment="0" applyProtection="0"/>
    <xf numFmtId="212" fontId="6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89" fontId="34" fillId="0" borderId="0"/>
    <xf numFmtId="3" fontId="7" fillId="0" borderId="0" applyFont="0" applyFill="0" applyBorder="0" applyAlignment="0" applyProtection="0"/>
    <xf numFmtId="0" fontId="134" fillId="0" borderId="0"/>
    <xf numFmtId="0" fontId="30" fillId="0" borderId="0"/>
    <xf numFmtId="3" fontId="7" fillId="0" borderId="0" applyFont="0" applyFill="0" applyBorder="0" applyAlignment="0" applyProtection="0"/>
    <xf numFmtId="3" fontId="7" fillId="0" borderId="0" applyFont="0" applyFill="0" applyBorder="0" applyAlignment="0" applyProtection="0"/>
    <xf numFmtId="0" fontId="134" fillId="0" borderId="0"/>
    <xf numFmtId="0" fontId="30" fillId="0" borderId="0"/>
    <xf numFmtId="0" fontId="135" fillId="0" borderId="0">
      <alignment horizontal="center"/>
    </xf>
    <xf numFmtId="0" fontId="136" fillId="0" borderId="0" applyNumberFormat="0" applyAlignment="0">
      <alignment horizontal="left"/>
    </xf>
    <xf numFmtId="266" fontId="33" fillId="0" borderId="0" applyFont="0" applyFill="0" applyBorder="0" applyAlignment="0" applyProtection="0"/>
    <xf numFmtId="199" fontId="30" fillId="0" borderId="0" applyFont="0" applyFill="0" applyBorder="0" applyAlignment="0" applyProtection="0"/>
    <xf numFmtId="44" fontId="235" fillId="0" borderId="0" applyFont="0" applyFill="0" applyBorder="0" applyAlignment="0" applyProtection="0"/>
    <xf numFmtId="169"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67" fontId="12" fillId="0" borderId="0" applyFont="0" applyFill="0" applyBorder="0" applyAlignment="0" applyProtection="0"/>
    <xf numFmtId="187" fontId="1" fillId="0" borderId="0"/>
    <xf numFmtId="268" fontId="12" fillId="0" borderId="12"/>
    <xf numFmtId="0" fontId="7" fillId="0" borderId="0" applyFont="0" applyFill="0" applyBorder="0" applyAlignment="0" applyProtection="0"/>
    <xf numFmtId="0" fontId="7" fillId="0" borderId="0" applyFont="0" applyFill="0" applyBorder="0" applyAlignment="0" applyProtection="0"/>
    <xf numFmtId="14" fontId="35" fillId="0" borderId="0" applyFill="0" applyBorder="0" applyAlignment="0"/>
    <xf numFmtId="0" fontId="7" fillId="0" borderId="0" applyFont="0" applyFill="0" applyBorder="0" applyAlignment="0" applyProtection="0"/>
    <xf numFmtId="0" fontId="89" fillId="23" borderId="13" applyNumberFormat="0" applyAlignment="0" applyProtection="0"/>
    <xf numFmtId="0" fontId="137" fillId="10" borderId="9" applyNumberFormat="0" applyAlignment="0" applyProtection="0"/>
    <xf numFmtId="3" fontId="138" fillId="0" borderId="14">
      <alignment horizontal="left" vertical="top" wrapText="1"/>
    </xf>
    <xf numFmtId="0" fontId="139" fillId="0" borderId="15" applyNumberFormat="0" applyFill="0" applyAlignment="0" applyProtection="0"/>
    <xf numFmtId="0" fontId="140" fillId="0" borderId="16" applyNumberFormat="0" applyFill="0" applyAlignment="0" applyProtection="0"/>
    <xf numFmtId="0" fontId="86" fillId="0" borderId="17" applyNumberFormat="0" applyFill="0" applyAlignment="0" applyProtection="0"/>
    <xf numFmtId="0" fontId="86" fillId="0" borderId="0" applyNumberFormat="0" applyFill="0" applyBorder="0" applyAlignment="0" applyProtection="0"/>
    <xf numFmtId="269" fontId="98" fillId="0" borderId="0" applyFill="0" applyBorder="0" applyProtection="0">
      <alignment vertical="center"/>
    </xf>
    <xf numFmtId="270" fontId="12" fillId="0" borderId="0" applyFont="0" applyFill="0" applyBorder="0" applyProtection="0">
      <alignment vertical="center"/>
    </xf>
    <xf numFmtId="270" fontId="12" fillId="0" borderId="0" applyFont="0" applyFill="0" applyBorder="0" applyProtection="0">
      <alignment vertical="center"/>
    </xf>
    <xf numFmtId="270" fontId="12" fillId="0" borderId="0" applyFont="0" applyFill="0" applyBorder="0" applyProtection="0">
      <alignment vertical="center"/>
    </xf>
    <xf numFmtId="208" fontId="1" fillId="0" borderId="18">
      <alignment vertical="center"/>
    </xf>
    <xf numFmtId="0" fontId="7" fillId="0" borderId="0" applyFont="0" applyFill="0" applyBorder="0" applyAlignment="0" applyProtection="0"/>
    <xf numFmtId="0" fontId="7" fillId="0" borderId="0" applyFont="0" applyFill="0" applyBorder="0" applyAlignment="0" applyProtection="0"/>
    <xf numFmtId="271" fontId="12" fillId="0" borderId="0"/>
    <xf numFmtId="272" fontId="10" fillId="0" borderId="1"/>
    <xf numFmtId="0" fontId="141" fillId="0" borderId="0">
      <protection locked="0"/>
    </xf>
    <xf numFmtId="188" fontId="1" fillId="0" borderId="0"/>
    <xf numFmtId="273" fontId="10" fillId="0" borderId="0"/>
    <xf numFmtId="0" fontId="131" fillId="0" borderId="0">
      <alignment vertical="top" wrapText="1"/>
    </xf>
    <xf numFmtId="174" fontId="142" fillId="0" borderId="0" applyFont="0" applyFill="0" applyBorder="0" applyAlignment="0" applyProtection="0"/>
    <xf numFmtId="176" fontId="142" fillId="0" borderId="0" applyFont="0" applyFill="0" applyBorder="0" applyAlignment="0" applyProtection="0"/>
    <xf numFmtId="174" fontId="142" fillId="0" borderId="0" applyFont="0" applyFill="0" applyBorder="0" applyAlignment="0" applyProtection="0"/>
    <xf numFmtId="41" fontId="142"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174" fontId="142" fillId="0" borderId="0" applyFont="0" applyFill="0" applyBorder="0" applyAlignment="0" applyProtection="0"/>
    <xf numFmtId="174" fontId="142" fillId="0" borderId="0" applyFont="0" applyFill="0" applyBorder="0" applyAlignment="0" applyProtection="0"/>
    <xf numFmtId="274" fontId="7" fillId="0" borderId="0" applyFont="0" applyFill="0" applyBorder="0" applyAlignment="0" applyProtection="0"/>
    <xf numFmtId="274" fontId="7" fillId="0" borderId="0" applyFont="0" applyFill="0" applyBorder="0" applyAlignment="0" applyProtection="0"/>
    <xf numFmtId="275" fontId="12" fillId="0" borderId="0" applyFont="0" applyFill="0" applyBorder="0" applyAlignment="0" applyProtection="0"/>
    <xf numFmtId="275" fontId="12" fillId="0" borderId="0" applyFont="0" applyFill="0" applyBorder="0" applyAlignment="0" applyProtection="0"/>
    <xf numFmtId="276" fontId="12" fillId="0" borderId="0" applyFont="0" applyFill="0" applyBorder="0" applyAlignment="0" applyProtection="0"/>
    <xf numFmtId="276" fontId="1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174" fontId="142" fillId="0" borderId="0" applyFont="0" applyFill="0" applyBorder="0" applyAlignment="0" applyProtection="0"/>
    <xf numFmtId="41" fontId="142" fillId="0" borderId="0" applyFont="0" applyFill="0" applyBorder="0" applyAlignment="0" applyProtection="0"/>
    <xf numFmtId="174"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41" fontId="142"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176" fontId="142" fillId="0" borderId="0" applyFont="0" applyFill="0" applyBorder="0" applyAlignment="0" applyProtection="0"/>
    <xf numFmtId="176" fontId="142"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18" fontId="12" fillId="0" borderId="0" applyFont="0" applyFill="0" applyBorder="0" applyAlignment="0" applyProtection="0"/>
    <xf numFmtId="218" fontId="12" fillId="0" borderId="0" applyFont="0" applyFill="0" applyBorder="0" applyAlignment="0" applyProtection="0"/>
    <xf numFmtId="278" fontId="12" fillId="0" borderId="0" applyFont="0" applyFill="0" applyBorder="0" applyAlignment="0" applyProtection="0"/>
    <xf numFmtId="278"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176"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3" fontId="12" fillId="0" borderId="0" applyFont="0" applyBorder="0" applyAlignment="0"/>
    <xf numFmtId="0" fontId="143" fillId="0" borderId="0">
      <protection locked="0"/>
    </xf>
    <xf numFmtId="0" fontId="143" fillId="0" borderId="0">
      <protection locked="0"/>
    </xf>
    <xf numFmtId="178" fontId="30" fillId="0" borderId="0" applyFill="0" applyBorder="0" applyAlignment="0"/>
    <xf numFmtId="199" fontId="30" fillId="0" borderId="0" applyFill="0" applyBorder="0" applyAlignment="0"/>
    <xf numFmtId="178" fontId="30" fillId="0" borderId="0" applyFill="0" applyBorder="0" applyAlignment="0"/>
    <xf numFmtId="202" fontId="30" fillId="0" borderId="0" applyFill="0" applyBorder="0" applyAlignment="0"/>
    <xf numFmtId="199" fontId="30" fillId="0" borderId="0" applyFill="0" applyBorder="0" applyAlignment="0"/>
    <xf numFmtId="0" fontId="144" fillId="0" borderId="0" applyNumberFormat="0" applyAlignment="0">
      <alignment horizontal="left"/>
    </xf>
    <xf numFmtId="216" fontId="145" fillId="0" borderId="0">
      <protection locked="0"/>
    </xf>
    <xf numFmtId="216" fontId="145" fillId="0" borderId="0">
      <protection locked="0"/>
    </xf>
    <xf numFmtId="207" fontId="1" fillId="0" borderId="0" applyFont="0" applyFill="0" applyBorder="0" applyAlignment="0" applyProtection="0"/>
    <xf numFmtId="0" fontId="146" fillId="0" borderId="0" applyNumberFormat="0" applyFill="0" applyBorder="0" applyAlignment="0" applyProtection="0"/>
    <xf numFmtId="3" fontId="12" fillId="0" borderId="0" applyFont="0" applyBorder="0" applyAlignment="0"/>
    <xf numFmtId="0" fontId="141"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0" fontId="141" fillId="0" borderId="0">
      <protection locked="0"/>
    </xf>
    <xf numFmtId="4" fontId="141" fillId="0" borderId="0">
      <protection locked="0"/>
    </xf>
    <xf numFmtId="0" fontId="141" fillId="0" borderId="0">
      <protection locked="0"/>
    </xf>
    <xf numFmtId="279" fontId="12" fillId="0" borderId="0">
      <protection locked="0"/>
    </xf>
    <xf numFmtId="2" fontId="7" fillId="0" borderId="0" applyFont="0" applyFill="0" applyBorder="0" applyAlignment="0" applyProtection="0"/>
    <xf numFmtId="2" fontId="7" fillId="0" borderId="0" applyFont="0" applyFill="0" applyBorder="0" applyAlignment="0" applyProtection="0"/>
    <xf numFmtId="0" fontId="147" fillId="0" borderId="0" applyNumberFormat="0" applyFill="0" applyBorder="0" applyAlignment="0" applyProtection="0"/>
    <xf numFmtId="0" fontId="148" fillId="0" borderId="0" applyNumberFormat="0" applyFill="0" applyBorder="0" applyProtection="0">
      <alignment vertical="center"/>
    </xf>
    <xf numFmtId="0" fontId="149" fillId="0" borderId="0" applyNumberFormat="0" applyFill="0" applyBorder="0" applyAlignment="0" applyProtection="0"/>
    <xf numFmtId="0" fontId="150" fillId="0" borderId="0" applyNumberFormat="0" applyFill="0" applyBorder="0" applyProtection="0">
      <alignment vertical="center"/>
    </xf>
    <xf numFmtId="0" fontId="151" fillId="0" borderId="0" applyNumberFormat="0" applyFill="0" applyBorder="0" applyAlignment="0" applyProtection="0"/>
    <xf numFmtId="0" fontId="152" fillId="0" borderId="0" applyNumberFormat="0" applyFill="0" applyBorder="0" applyAlignment="0" applyProtection="0"/>
    <xf numFmtId="280" fontId="20" fillId="0" borderId="19" applyNumberFormat="0" applyFill="0" applyBorder="0" applyAlignment="0" applyProtection="0"/>
    <xf numFmtId="0" fontId="153" fillId="0" borderId="0" applyNumberFormat="0" applyFill="0" applyBorder="0" applyAlignment="0" applyProtection="0"/>
    <xf numFmtId="0" fontId="154" fillId="25" borderId="20" applyNumberFormat="0" applyAlignment="0">
      <protection locked="0"/>
    </xf>
    <xf numFmtId="0" fontId="7" fillId="26" borderId="21" applyNumberFormat="0" applyFont="0" applyAlignment="0" applyProtection="0"/>
    <xf numFmtId="0" fontId="155" fillId="0" borderId="0">
      <alignment vertical="top" wrapText="1"/>
    </xf>
    <xf numFmtId="0" fontId="156" fillId="7" borderId="0" applyNumberFormat="0" applyBorder="0" applyAlignment="0" applyProtection="0"/>
    <xf numFmtId="38" fontId="19" fillId="27" borderId="0" applyNumberFormat="0" applyBorder="0" applyAlignment="0" applyProtection="0"/>
    <xf numFmtId="281" fontId="74" fillId="2" borderId="0" applyBorder="0" applyProtection="0"/>
    <xf numFmtId="0" fontId="157" fillId="0" borderId="22" applyNumberFormat="0" applyFill="0" applyBorder="0" applyAlignment="0" applyProtection="0">
      <alignment horizontal="center" vertical="center"/>
    </xf>
    <xf numFmtId="0" fontId="36" fillId="0" borderId="0" applyNumberFormat="0" applyFont="0" applyBorder="0" applyAlignment="0">
      <alignment horizontal="left" vertical="center"/>
    </xf>
    <xf numFmtId="219" fontId="33" fillId="0" borderId="0" applyFont="0" applyFill="0" applyBorder="0" applyAlignment="0" applyProtection="0"/>
    <xf numFmtId="0" fontId="158" fillId="28" borderId="0"/>
    <xf numFmtId="0" fontId="37" fillId="0" borderId="0">
      <alignment horizontal="left"/>
    </xf>
    <xf numFmtId="0" fontId="2" fillId="0" borderId="23" applyNumberFormat="0" applyAlignment="0" applyProtection="0">
      <alignment horizontal="left" vertical="center"/>
    </xf>
    <xf numFmtId="0" fontId="2" fillId="0" borderId="24">
      <alignment horizontal="left" vertical="center"/>
    </xf>
    <xf numFmtId="0" fontId="16" fillId="0" borderId="0" applyNumberFormat="0" applyFill="0" applyBorder="0" applyAlignment="0" applyProtection="0"/>
    <xf numFmtId="0" fontId="16" fillId="0" borderId="0" applyNumberFormat="0" applyFill="0" applyBorder="0" applyAlignment="0" applyProtection="0"/>
    <xf numFmtId="0" fontId="139" fillId="0" borderId="1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0" fillId="0" borderId="16" applyNumberFormat="0" applyFill="0" applyAlignment="0" applyProtection="0"/>
    <xf numFmtId="0" fontId="159" fillId="0" borderId="17" applyNumberFormat="0" applyFill="0" applyAlignment="0" applyProtection="0"/>
    <xf numFmtId="0" fontId="159" fillId="0" borderId="0" applyNumberFormat="0" applyFill="0" applyBorder="0" applyAlignment="0" applyProtection="0"/>
    <xf numFmtId="0" fontId="38" fillId="0" borderId="0" applyProtection="0"/>
    <xf numFmtId="0" fontId="39" fillId="0" borderId="0" applyProtection="0"/>
    <xf numFmtId="0" fontId="160" fillId="0" borderId="25">
      <alignment horizontal="center"/>
    </xf>
    <xf numFmtId="0" fontId="160" fillId="0" borderId="0">
      <alignment horizontal="center"/>
    </xf>
    <xf numFmtId="164" fontId="14" fillId="29" borderId="1" applyNumberFormat="0" applyAlignment="0">
      <alignment horizontal="left" vertical="top"/>
    </xf>
    <xf numFmtId="0" fontId="161" fillId="0" borderId="0"/>
    <xf numFmtId="49" fontId="11" fillId="0" borderId="1">
      <alignment vertical="center"/>
    </xf>
    <xf numFmtId="0" fontId="34" fillId="0" borderId="0"/>
    <xf numFmtId="174" fontId="12" fillId="0" borderId="0" applyFont="0" applyFill="0" applyBorder="0" applyAlignment="0" applyProtection="0"/>
    <xf numFmtId="38" fontId="41" fillId="0" borderId="0" applyFont="0" applyFill="0" applyBorder="0" applyAlignment="0" applyProtection="0"/>
    <xf numFmtId="244" fontId="104" fillId="0" borderId="0" applyFont="0" applyFill="0" applyBorder="0" applyAlignment="0" applyProtection="0"/>
    <xf numFmtId="282" fontId="29" fillId="0" borderId="0" applyFont="0" applyFill="0" applyBorder="0" applyAlignment="0" applyProtection="0"/>
    <xf numFmtId="0" fontId="40" fillId="0" borderId="0"/>
    <xf numFmtId="10" fontId="19" fillId="27" borderId="1" applyNumberFormat="0" applyBorder="0" applyAlignment="0" applyProtection="0"/>
    <xf numFmtId="0" fontId="162" fillId="10" borderId="9" applyNumberFormat="0" applyAlignment="0" applyProtection="0"/>
    <xf numFmtId="2" fontId="105" fillId="0" borderId="26" applyBorder="0"/>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174" fontId="12" fillId="0" borderId="0" applyFont="0" applyFill="0" applyBorder="0" applyAlignment="0" applyProtection="0"/>
    <xf numFmtId="0" fontId="12" fillId="0" borderId="0"/>
    <xf numFmtId="2" fontId="166" fillId="0" borderId="27" applyBorder="0"/>
    <xf numFmtId="0" fontId="118" fillId="0" borderId="28">
      <alignment horizontal="centerContinuous"/>
    </xf>
    <xf numFmtId="0" fontId="83" fillId="24" borderId="10" applyNumberFormat="0" applyAlignment="0" applyProtection="0"/>
    <xf numFmtId="0" fontId="167" fillId="0" borderId="29">
      <alignment horizontal="center" vertical="center" wrapText="1"/>
    </xf>
    <xf numFmtId="0" fontId="131" fillId="27" borderId="0" applyNumberFormat="0" applyFont="0" applyBorder="0" applyAlignment="0"/>
    <xf numFmtId="0" fontId="41" fillId="0" borderId="0"/>
    <xf numFmtId="0" fontId="34" fillId="0" borderId="0" applyNumberFormat="0" applyFont="0" applyFill="0" applyBorder="0" applyProtection="0">
      <alignment horizontal="left" vertical="center"/>
    </xf>
    <xf numFmtId="0" fontId="42" fillId="0" borderId="0"/>
    <xf numFmtId="178" fontId="30" fillId="0" borderId="0" applyFill="0" applyBorder="0" applyAlignment="0"/>
    <xf numFmtId="199" fontId="30" fillId="0" borderId="0" applyFill="0" applyBorder="0" applyAlignment="0"/>
    <xf numFmtId="178" fontId="30" fillId="0" borderId="0" applyFill="0" applyBorder="0" applyAlignment="0"/>
    <xf numFmtId="202" fontId="30" fillId="0" borderId="0" applyFill="0" applyBorder="0" applyAlignment="0"/>
    <xf numFmtId="199" fontId="30" fillId="0" borderId="0" applyFill="0" applyBorder="0" applyAlignment="0"/>
    <xf numFmtId="0" fontId="168" fillId="0" borderId="30" applyNumberFormat="0" applyFill="0" applyAlignment="0" applyProtection="0"/>
    <xf numFmtId="49" fontId="10" fillId="0" borderId="22" applyBorder="0" applyAlignment="0" applyProtection="0">
      <alignment horizontal="left" vertical="center"/>
    </xf>
    <xf numFmtId="3" fontId="169" fillId="0" borderId="14" applyNumberFormat="0" applyAlignment="0">
      <alignment horizontal="center" vertical="center"/>
    </xf>
    <xf numFmtId="3" fontId="112" fillId="0" borderId="14" applyNumberFormat="0" applyAlignment="0">
      <alignment horizontal="center" vertical="center"/>
    </xf>
    <xf numFmtId="3" fontId="14" fillId="0" borderId="14" applyNumberFormat="0" applyAlignment="0">
      <alignment horizontal="center" vertical="center"/>
    </xf>
    <xf numFmtId="268" fontId="170" fillId="0" borderId="31" applyNumberFormat="0" applyFont="0" applyFill="0" applyBorder="0">
      <alignment horizontal="center"/>
    </xf>
    <xf numFmtId="38" fontId="41" fillId="0" borderId="0" applyFont="0" applyFill="0" applyBorder="0" applyAlignment="0" applyProtection="0"/>
    <xf numFmtId="4" fontId="30" fillId="0" borderId="0" applyFont="0" applyFill="0" applyBorder="0" applyAlignment="0" applyProtection="0"/>
    <xf numFmtId="243" fontId="34" fillId="0" borderId="0" applyFont="0" applyFill="0" applyBorder="0" applyAlignment="0" applyProtection="0"/>
    <xf numFmtId="40" fontId="42" fillId="0" borderId="0" applyFont="0" applyFill="0" applyBorder="0" applyAlignment="0" applyProtection="0"/>
    <xf numFmtId="174" fontId="7" fillId="0" borderId="0" applyFont="0" applyFill="0" applyBorder="0" applyAlignment="0" applyProtection="0"/>
    <xf numFmtId="176" fontId="7" fillId="0" borderId="0" applyFont="0" applyFill="0" applyBorder="0" applyAlignment="0" applyProtection="0"/>
    <xf numFmtId="0" fontId="43" fillId="0" borderId="25"/>
    <xf numFmtId="198" fontId="44" fillId="0" borderId="31"/>
    <xf numFmtId="185" fontId="45" fillId="0" borderId="0" applyFont="0" applyFill="0" applyBorder="0" applyAlignment="0" applyProtection="0"/>
    <xf numFmtId="184" fontId="45" fillId="0" borderId="0" applyFont="0" applyFill="0" applyBorder="0" applyAlignment="0" applyProtection="0"/>
    <xf numFmtId="176" fontId="145" fillId="0" borderId="0">
      <protection locked="0"/>
    </xf>
    <xf numFmtId="206" fontId="7" fillId="0" borderId="0" applyFont="0" applyFill="0" applyBorder="0" applyAlignment="0" applyProtection="0"/>
    <xf numFmtId="283" fontId="7" fillId="0" borderId="0" applyFont="0" applyFill="0" applyBorder="0" applyAlignment="0" applyProtection="0"/>
    <xf numFmtId="0" fontId="3" fillId="0" borderId="0" applyNumberFormat="0" applyFont="0" applyFill="0" applyAlignment="0"/>
    <xf numFmtId="0" fontId="3" fillId="0" borderId="0" applyNumberFormat="0" applyFont="0" applyFill="0" applyAlignment="0"/>
    <xf numFmtId="0" fontId="98" fillId="0" borderId="0" applyNumberFormat="0" applyFill="0" applyAlignment="0"/>
    <xf numFmtId="0" fontId="76" fillId="0" borderId="0"/>
    <xf numFmtId="0" fontId="98" fillId="0" borderId="0" applyNumberFormat="0" applyFill="0" applyAlignment="0"/>
    <xf numFmtId="0" fontId="3" fillId="0" borderId="0" applyNumberFormat="0" applyFont="0" applyFill="0" applyAlignment="0"/>
    <xf numFmtId="0" fontId="171" fillId="30" borderId="0" applyNumberFormat="0" applyBorder="0" applyAlignment="0" applyProtection="0"/>
    <xf numFmtId="0" fontId="33" fillId="0" borderId="1"/>
    <xf numFmtId="0" fontId="34" fillId="0" borderId="0"/>
    <xf numFmtId="0" fontId="10" fillId="0" borderId="4" applyNumberFormat="0" applyAlignment="0">
      <alignment horizontal="center"/>
    </xf>
    <xf numFmtId="0" fontId="80"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2" borderId="0" applyNumberFormat="0" applyBorder="0" applyAlignment="0" applyProtection="0"/>
    <xf numFmtId="37" fontId="46" fillId="0" borderId="0"/>
    <xf numFmtId="0" fontId="47" fillId="0" borderId="1" applyNumberFormat="0" applyFont="0" applyFill="0" applyBorder="0" applyAlignment="0">
      <alignment horizontal="center"/>
    </xf>
    <xf numFmtId="0" fontId="21" fillId="0" borderId="0"/>
    <xf numFmtId="183" fontId="17" fillId="0" borderId="0"/>
    <xf numFmtId="0" fontId="7" fillId="0" borderId="0"/>
    <xf numFmtId="0" fontId="7" fillId="0" borderId="0"/>
    <xf numFmtId="284" fontId="12" fillId="0" borderId="0"/>
    <xf numFmtId="284" fontId="12" fillId="0" borderId="0"/>
    <xf numFmtId="284" fontId="12" fillId="0" borderId="0"/>
    <xf numFmtId="183" fontId="17" fillId="0" borderId="0"/>
    <xf numFmtId="183" fontId="17" fillId="0" borderId="0"/>
    <xf numFmtId="183" fontId="17" fillId="0" borderId="0"/>
    <xf numFmtId="285" fontId="12" fillId="0" borderId="0"/>
    <xf numFmtId="0" fontId="48" fillId="0" borderId="0"/>
    <xf numFmtId="0" fontId="9" fillId="0" borderId="0"/>
    <xf numFmtId="0" fontId="75" fillId="0" borderId="0"/>
    <xf numFmtId="0" fontId="76" fillId="0" borderId="0"/>
    <xf numFmtId="0" fontId="7" fillId="0" borderId="0"/>
    <xf numFmtId="0" fontId="235" fillId="0" borderId="0"/>
    <xf numFmtId="0" fontId="9" fillId="0" borderId="0"/>
    <xf numFmtId="0" fontId="172" fillId="0" borderId="0"/>
    <xf numFmtId="0" fontId="12" fillId="0" borderId="0"/>
    <xf numFmtId="0" fontId="232" fillId="0" borderId="0"/>
    <xf numFmtId="0" fontId="75" fillId="0" borderId="0"/>
    <xf numFmtId="0" fontId="232" fillId="0" borderId="0"/>
    <xf numFmtId="0" fontId="76" fillId="0" borderId="0"/>
    <xf numFmtId="0" fontId="69" fillId="0" borderId="0"/>
    <xf numFmtId="0" fontId="7" fillId="0" borderId="0"/>
    <xf numFmtId="0" fontId="69" fillId="0" borderId="0"/>
    <xf numFmtId="0" fontId="22" fillId="0" borderId="0"/>
    <xf numFmtId="0" fontId="76" fillId="0" borderId="0"/>
    <xf numFmtId="0" fontId="232" fillId="0" borderId="0"/>
    <xf numFmtId="0" fontId="7" fillId="0" borderId="0"/>
    <xf numFmtId="0" fontId="235" fillId="0" borderId="0"/>
    <xf numFmtId="0" fontId="95" fillId="0" borderId="0"/>
    <xf numFmtId="0" fontId="12" fillId="0" borderId="0"/>
    <xf numFmtId="0" fontId="7" fillId="0" borderId="0"/>
    <xf numFmtId="0" fontId="128" fillId="0" borderId="0"/>
    <xf numFmtId="0" fontId="12" fillId="0" borderId="0"/>
    <xf numFmtId="0" fontId="7" fillId="0" borderId="0"/>
    <xf numFmtId="0" fontId="12" fillId="0" borderId="0"/>
    <xf numFmtId="0" fontId="7" fillId="0" borderId="0"/>
    <xf numFmtId="0" fontId="76" fillId="0" borderId="0"/>
    <xf numFmtId="0" fontId="7" fillId="0" borderId="0"/>
    <xf numFmtId="0" fontId="7" fillId="0" borderId="0"/>
    <xf numFmtId="0" fontId="232" fillId="0" borderId="0"/>
    <xf numFmtId="0" fontId="7" fillId="0" borderId="0"/>
    <xf numFmtId="0" fontId="76" fillId="0" borderId="0"/>
    <xf numFmtId="0" fontId="7" fillId="0" borderId="0"/>
    <xf numFmtId="0" fontId="130" fillId="0" borderId="0"/>
    <xf numFmtId="0" fontId="232" fillId="0" borderId="0"/>
    <xf numFmtId="0" fontId="236" fillId="0" borderId="0"/>
    <xf numFmtId="0" fontId="1" fillId="0" borderId="0"/>
    <xf numFmtId="0" fontId="76" fillId="0" borderId="0"/>
    <xf numFmtId="0" fontId="7" fillId="0" borderId="0"/>
    <xf numFmtId="0" fontId="12" fillId="0" borderId="0"/>
    <xf numFmtId="0" fontId="76" fillId="0" borderId="0"/>
    <xf numFmtId="0" fontId="96" fillId="0" borderId="0" applyProtection="0"/>
    <xf numFmtId="0" fontId="9" fillId="0" borderId="0"/>
    <xf numFmtId="0" fontId="69" fillId="0" borderId="0"/>
    <xf numFmtId="0" fontId="92" fillId="0" borderId="0"/>
    <xf numFmtId="0" fontId="7" fillId="0" borderId="0"/>
    <xf numFmtId="0" fontId="9" fillId="0" borderId="0"/>
    <xf numFmtId="0" fontId="7" fillId="0" borderId="0"/>
    <xf numFmtId="0" fontId="237" fillId="0" borderId="0"/>
    <xf numFmtId="0" fontId="7" fillId="0" borderId="0"/>
    <xf numFmtId="0" fontId="69" fillId="0" borderId="0">
      <alignment vertical="top"/>
    </xf>
    <xf numFmtId="0" fontId="69" fillId="0" borderId="0">
      <alignment vertical="top"/>
    </xf>
    <xf numFmtId="0" fontId="235" fillId="0" borderId="0"/>
    <xf numFmtId="0" fontId="7" fillId="0" borderId="0"/>
    <xf numFmtId="0" fontId="235" fillId="0" borderId="0"/>
    <xf numFmtId="0" fontId="233" fillId="0" borderId="0"/>
    <xf numFmtId="0" fontId="7" fillId="0" borderId="0"/>
    <xf numFmtId="0" fontId="234" fillId="0" borderId="0"/>
    <xf numFmtId="0" fontId="232" fillId="0" borderId="0"/>
    <xf numFmtId="0" fontId="234" fillId="0" borderId="0"/>
    <xf numFmtId="0" fontId="234" fillId="0" borderId="0"/>
    <xf numFmtId="0" fontId="232" fillId="0" borderId="0"/>
    <xf numFmtId="0" fontId="238" fillId="0" borderId="0"/>
    <xf numFmtId="0" fontId="173" fillId="0" borderId="0" applyNumberFormat="0" applyFill="0" applyBorder="0" applyProtection="0">
      <alignment vertical="top"/>
    </xf>
    <xf numFmtId="0" fontId="232" fillId="0" borderId="0"/>
    <xf numFmtId="0" fontId="12" fillId="0" borderId="0"/>
    <xf numFmtId="0" fontId="76" fillId="0" borderId="0"/>
    <xf numFmtId="0" fontId="7" fillId="0" borderId="0"/>
    <xf numFmtId="0" fontId="7" fillId="0" borderId="0"/>
    <xf numFmtId="0" fontId="76" fillId="0" borderId="0"/>
    <xf numFmtId="0" fontId="7" fillId="0" borderId="0"/>
    <xf numFmtId="0" fontId="67" fillId="0" borderId="0"/>
    <xf numFmtId="0" fontId="12" fillId="0" borderId="0"/>
    <xf numFmtId="0" fontId="110" fillId="0" borderId="0" applyFont="0"/>
    <xf numFmtId="0" fontId="174" fillId="0" borderId="0">
      <alignment horizontal="left" vertical="top"/>
    </xf>
    <xf numFmtId="0" fontId="30" fillId="27" borderId="0"/>
    <xf numFmtId="0" fontId="142" fillId="0" borderId="0"/>
    <xf numFmtId="0" fontId="7" fillId="26" borderId="21" applyNumberFormat="0" applyFont="0" applyAlignment="0" applyProtection="0"/>
    <xf numFmtId="286" fontId="175" fillId="0" borderId="0" applyFont="0" applyFill="0" applyBorder="0" applyProtection="0">
      <alignment vertical="top" wrapText="1"/>
    </xf>
    <xf numFmtId="0" fontId="87" fillId="0" borderId="30" applyNumberFormat="0" applyFill="0" applyAlignment="0" applyProtection="0"/>
    <xf numFmtId="0" fontId="10" fillId="0" borderId="0"/>
    <xf numFmtId="176" fontId="108" fillId="0" borderId="0" applyFont="0" applyFill="0" applyBorder="0" applyAlignment="0" applyProtection="0"/>
    <xf numFmtId="174" fontId="108"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7" fillId="0" borderId="0" applyFont="0" applyFill="0" applyBorder="0" applyAlignment="0" applyProtection="0"/>
    <xf numFmtId="0" fontId="50" fillId="0" borderId="0"/>
    <xf numFmtId="0" fontId="176" fillId="23" borderId="13" applyNumberFormat="0" applyAlignment="0" applyProtection="0"/>
    <xf numFmtId="179" fontId="177" fillId="0" borderId="4" applyFont="0" applyBorder="0" applyAlignment="0"/>
    <xf numFmtId="0" fontId="51" fillId="27" borderId="0"/>
    <xf numFmtId="41" fontId="7" fillId="0" borderId="0" applyFont="0" applyFill="0" applyBorder="0" applyAlignment="0" applyProtection="0"/>
    <xf numFmtId="14" fontId="118" fillId="0" borderId="0">
      <alignment horizontal="center" wrapText="1"/>
      <protection locked="0"/>
    </xf>
    <xf numFmtId="201" fontId="1" fillId="0" borderId="0" applyFont="0" applyFill="0" applyBorder="0" applyAlignment="0" applyProtection="0"/>
    <xf numFmtId="203" fontId="1" fillId="0" borderId="0" applyFont="0" applyFill="0" applyBorder="0" applyAlignment="0" applyProtection="0"/>
    <xf numFmtId="10"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41" fillId="0" borderId="32" applyNumberFormat="0" applyBorder="0"/>
    <xf numFmtId="0" fontId="7" fillId="0" borderId="0"/>
    <xf numFmtId="179" fontId="145" fillId="0" borderId="0">
      <protection locked="0"/>
    </xf>
    <xf numFmtId="178" fontId="30" fillId="0" borderId="0" applyFill="0" applyBorder="0" applyAlignment="0"/>
    <xf numFmtId="199" fontId="30" fillId="0" borderId="0" applyFill="0" applyBorder="0" applyAlignment="0"/>
    <xf numFmtId="178" fontId="30" fillId="0" borderId="0" applyFill="0" applyBorder="0" applyAlignment="0"/>
    <xf numFmtId="202" fontId="30" fillId="0" borderId="0" applyFill="0" applyBorder="0" applyAlignment="0"/>
    <xf numFmtId="199" fontId="30" fillId="0" borderId="0" applyFill="0" applyBorder="0" applyAlignment="0"/>
    <xf numFmtId="0" fontId="52" fillId="0" borderId="0"/>
    <xf numFmtId="0" fontId="41" fillId="0" borderId="0" applyNumberFormat="0" applyFont="0" applyFill="0" applyBorder="0" applyAlignment="0" applyProtection="0">
      <alignment horizontal="left"/>
    </xf>
    <xf numFmtId="0" fontId="53" fillId="0" borderId="25">
      <alignment horizontal="center"/>
    </xf>
    <xf numFmtId="0" fontId="178" fillId="31" borderId="0" applyNumberFormat="0" applyFont="0" applyBorder="0" applyAlignment="0">
      <alignment horizontal="center"/>
    </xf>
    <xf numFmtId="14" fontId="179" fillId="0" borderId="0" applyNumberFormat="0" applyFill="0" applyBorder="0" applyAlignment="0" applyProtection="0">
      <alignment horizontal="left"/>
    </xf>
    <xf numFmtId="0" fontId="164" fillId="0" borderId="0" applyNumberFormat="0" applyFill="0" applyBorder="0" applyAlignment="0" applyProtection="0">
      <alignment vertical="top"/>
      <protection locked="0"/>
    </xf>
    <xf numFmtId="0" fontId="10" fillId="0" borderId="0"/>
    <xf numFmtId="244" fontId="104" fillId="0" borderId="0" applyFont="0" applyFill="0" applyBorder="0" applyAlignment="0" applyProtection="0"/>
    <xf numFmtId="0" fontId="12" fillId="0" borderId="0" applyNumberFormat="0" applyFill="0" applyBorder="0" applyAlignment="0" applyProtection="0"/>
    <xf numFmtId="4" fontId="180" fillId="32" borderId="33" applyNumberFormat="0" applyProtection="0">
      <alignment vertical="center"/>
    </xf>
    <xf numFmtId="4" fontId="181" fillId="32" borderId="33" applyNumberFormat="0" applyProtection="0">
      <alignment vertical="center"/>
    </xf>
    <xf numFmtId="4" fontId="182" fillId="32" borderId="33" applyNumberFormat="0" applyProtection="0">
      <alignment horizontal="left" vertical="center" indent="1"/>
    </xf>
    <xf numFmtId="4" fontId="182" fillId="33" borderId="0" applyNumberFormat="0" applyProtection="0">
      <alignment horizontal="left" vertical="center" indent="1"/>
    </xf>
    <xf numFmtId="4" fontId="182" fillId="34" borderId="33" applyNumberFormat="0" applyProtection="0">
      <alignment horizontal="right" vertical="center"/>
    </xf>
    <xf numFmtId="4" fontId="182" fillId="35" borderId="33" applyNumberFormat="0" applyProtection="0">
      <alignment horizontal="right" vertical="center"/>
    </xf>
    <xf numFmtId="4" fontId="182" fillId="36" borderId="33" applyNumberFormat="0" applyProtection="0">
      <alignment horizontal="right" vertical="center"/>
    </xf>
    <xf numFmtId="4" fontId="182" fillId="37" borderId="33" applyNumberFormat="0" applyProtection="0">
      <alignment horizontal="right" vertical="center"/>
    </xf>
    <xf numFmtId="4" fontId="182" fillId="38" borderId="33" applyNumberFormat="0" applyProtection="0">
      <alignment horizontal="right" vertical="center"/>
    </xf>
    <xf numFmtId="4" fontId="182" fillId="39" borderId="33" applyNumberFormat="0" applyProtection="0">
      <alignment horizontal="right" vertical="center"/>
    </xf>
    <xf numFmtId="4" fontId="182" fillId="40" borderId="33" applyNumberFormat="0" applyProtection="0">
      <alignment horizontal="right" vertical="center"/>
    </xf>
    <xf numFmtId="4" fontId="182" fillId="41" borderId="33" applyNumberFormat="0" applyProtection="0">
      <alignment horizontal="right" vertical="center"/>
    </xf>
    <xf numFmtId="4" fontId="182" fillId="42" borderId="33" applyNumberFormat="0" applyProtection="0">
      <alignment horizontal="right" vertical="center"/>
    </xf>
    <xf numFmtId="4" fontId="180" fillId="43" borderId="34" applyNumberFormat="0" applyProtection="0">
      <alignment horizontal="left" vertical="center" indent="1"/>
    </xf>
    <xf numFmtId="4" fontId="180" fillId="44" borderId="0" applyNumberFormat="0" applyProtection="0">
      <alignment horizontal="left" vertical="center" indent="1"/>
    </xf>
    <xf numFmtId="4" fontId="180" fillId="33" borderId="0" applyNumberFormat="0" applyProtection="0">
      <alignment horizontal="left" vertical="center" indent="1"/>
    </xf>
    <xf numFmtId="4" fontId="182" fillId="44" borderId="33" applyNumberFormat="0" applyProtection="0">
      <alignment horizontal="right" vertical="center"/>
    </xf>
    <xf numFmtId="4" fontId="35" fillId="44" borderId="0" applyNumberFormat="0" applyProtection="0">
      <alignment horizontal="left" vertical="center" indent="1"/>
    </xf>
    <xf numFmtId="4" fontId="35" fillId="33" borderId="0" applyNumberFormat="0" applyProtection="0">
      <alignment horizontal="left" vertical="center" indent="1"/>
    </xf>
    <xf numFmtId="4" fontId="182" fillId="45" borderId="33" applyNumberFormat="0" applyProtection="0">
      <alignment vertical="center"/>
    </xf>
    <xf numFmtId="4" fontId="183" fillId="45" borderId="33" applyNumberFormat="0" applyProtection="0">
      <alignment vertical="center"/>
    </xf>
    <xf numFmtId="4" fontId="180" fillId="44" borderId="35" applyNumberFormat="0" applyProtection="0">
      <alignment horizontal="left" vertical="center" indent="1"/>
    </xf>
    <xf numFmtId="4" fontId="182" fillId="45" borderId="33" applyNumberFormat="0" applyProtection="0">
      <alignment horizontal="right" vertical="center"/>
    </xf>
    <xf numFmtId="4" fontId="183" fillId="45" borderId="33" applyNumberFormat="0" applyProtection="0">
      <alignment horizontal="right" vertical="center"/>
    </xf>
    <xf numFmtId="4" fontId="180" fillId="44" borderId="33" applyNumberFormat="0" applyProtection="0">
      <alignment horizontal="left" vertical="center" indent="1"/>
    </xf>
    <xf numFmtId="4" fontId="184" fillId="29" borderId="35" applyNumberFormat="0" applyProtection="0">
      <alignment horizontal="left" vertical="center" indent="1"/>
    </xf>
    <xf numFmtId="4" fontId="185" fillId="45" borderId="33" applyNumberFormat="0" applyProtection="0">
      <alignment horizontal="right" vertical="center"/>
    </xf>
    <xf numFmtId="287" fontId="186" fillId="0" borderId="0" applyFont="0" applyFill="0" applyBorder="0" applyAlignment="0" applyProtection="0"/>
    <xf numFmtId="0" fontId="178" fillId="1" borderId="24" applyNumberFormat="0" applyFont="0" applyAlignment="0">
      <alignment horizontal="center"/>
    </xf>
    <xf numFmtId="4" fontId="7" fillId="0" borderId="14" applyBorder="0"/>
    <xf numFmtId="2" fontId="7" fillId="0" borderId="14"/>
    <xf numFmtId="215" fontId="7" fillId="0" borderId="0"/>
    <xf numFmtId="3" fontId="54" fillId="0" borderId="0"/>
    <xf numFmtId="0" fontId="187" fillId="0" borderId="0" applyNumberFormat="0" applyFill="0" applyBorder="0" applyAlignment="0">
      <alignment horizontal="center"/>
    </xf>
    <xf numFmtId="0" fontId="7" fillId="0" borderId="0"/>
    <xf numFmtId="1" fontId="7" fillId="0" borderId="0"/>
    <xf numFmtId="179" fontId="188" fillId="0" borderId="0" applyNumberFormat="0" applyBorder="0" applyAlignment="0">
      <alignment horizontal="centerContinuous"/>
    </xf>
    <xf numFmtId="0" fontId="42" fillId="0" borderId="0"/>
    <xf numFmtId="179" fontId="128" fillId="0" borderId="0" applyFont="0" applyFill="0" applyBorder="0" applyAlignment="0" applyProtection="0"/>
    <xf numFmtId="244" fontId="104" fillId="0" borderId="0" applyFont="0" applyFill="0" applyBorder="0" applyAlignment="0" applyProtection="0"/>
    <xf numFmtId="246" fontId="104"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9"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1" fontId="5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74" fontId="12"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177" fontId="105" fillId="0" borderId="0" applyFont="0" applyFill="0" applyBorder="0" applyAlignment="0" applyProtection="0"/>
    <xf numFmtId="250" fontId="104" fillId="0" borderId="0" applyFont="0" applyFill="0" applyBorder="0" applyAlignment="0" applyProtection="0"/>
    <xf numFmtId="250" fontId="104" fillId="0" borderId="0" applyFont="0" applyFill="0" applyBorder="0" applyAlignment="0" applyProtection="0"/>
    <xf numFmtId="251" fontId="7" fillId="0" borderId="0" applyFont="0" applyFill="0" applyBorder="0" applyAlignment="0" applyProtection="0"/>
    <xf numFmtId="178" fontId="105" fillId="0" borderId="0" applyFont="0" applyFill="0" applyBorder="0" applyAlignment="0" applyProtection="0"/>
    <xf numFmtId="174" fontId="12" fillId="0" borderId="0" applyFont="0" applyFill="0" applyBorder="0" applyAlignment="0" applyProtection="0"/>
    <xf numFmtId="250" fontId="104" fillId="0" borderId="0" applyFont="0" applyFill="0" applyBorder="0" applyAlignment="0" applyProtection="0"/>
    <xf numFmtId="177" fontId="105" fillId="0" borderId="0" applyFont="0" applyFill="0" applyBorder="0" applyAlignment="0" applyProtection="0"/>
    <xf numFmtId="252" fontId="33" fillId="0" borderId="0" applyFont="0" applyFill="0" applyBorder="0" applyAlignment="0" applyProtection="0"/>
    <xf numFmtId="244" fontId="104" fillId="0" borderId="0" applyFont="0" applyFill="0" applyBorder="0" applyAlignment="0" applyProtection="0"/>
    <xf numFmtId="174" fontId="104" fillId="0" borderId="0" applyFont="0" applyFill="0" applyBorder="0" applyAlignment="0" applyProtection="0"/>
    <xf numFmtId="17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4" fontId="12" fillId="0" borderId="0" applyFont="0" applyFill="0" applyBorder="0" applyAlignment="0" applyProtection="0"/>
    <xf numFmtId="173" fontId="104" fillId="0" borderId="0" applyFont="0" applyFill="0" applyBorder="0" applyAlignment="0" applyProtection="0"/>
    <xf numFmtId="194" fontId="54" fillId="0" borderId="0" applyFont="0" applyFill="0" applyBorder="0" applyAlignment="0" applyProtection="0"/>
    <xf numFmtId="223" fontId="104" fillId="0" borderId="0" applyFont="0" applyFill="0" applyBorder="0" applyAlignment="0" applyProtection="0"/>
    <xf numFmtId="224" fontId="104" fillId="0" borderId="0" applyFont="0" applyFill="0" applyBorder="0" applyAlignment="0" applyProtection="0"/>
    <xf numFmtId="223" fontId="104" fillId="0" borderId="0" applyFont="0" applyFill="0" applyBorder="0" applyAlignment="0" applyProtection="0"/>
    <xf numFmtId="177" fontId="17" fillId="0" borderId="0" applyFont="0" applyFill="0" applyBorder="0" applyAlignment="0" applyProtection="0"/>
    <xf numFmtId="177" fontId="104" fillId="0" borderId="0" applyFont="0" applyFill="0" applyBorder="0" applyAlignment="0" applyProtection="0"/>
    <xf numFmtId="213" fontId="54" fillId="0" borderId="0" applyFont="0" applyFill="0" applyBorder="0" applyAlignment="0" applyProtection="0"/>
    <xf numFmtId="177" fontId="104" fillId="0" borderId="0" applyFont="0" applyFill="0" applyBorder="0" applyAlignment="0" applyProtection="0"/>
    <xf numFmtId="223" fontId="104" fillId="0" borderId="0" applyFont="0" applyFill="0" applyBorder="0" applyAlignment="0" applyProtection="0"/>
    <xf numFmtId="179" fontId="128" fillId="0" borderId="0" applyFont="0" applyFill="0" applyBorder="0" applyAlignment="0" applyProtection="0"/>
    <xf numFmtId="177" fontId="17" fillId="0" borderId="0" applyFont="0" applyFill="0" applyBorder="0" applyAlignment="0" applyProtection="0"/>
    <xf numFmtId="237" fontId="104" fillId="0" borderId="0" applyFont="0" applyFill="0" applyBorder="0" applyAlignment="0" applyProtection="0"/>
    <xf numFmtId="194" fontId="5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239" fontId="104" fillId="0" borderId="0" applyFont="0" applyFill="0" applyBorder="0" applyAlignment="0" applyProtection="0"/>
    <xf numFmtId="240" fontId="105" fillId="0" borderId="0" applyFont="0" applyFill="0" applyBorder="0" applyAlignment="0" applyProtection="0"/>
    <xf numFmtId="239" fontId="104" fillId="0" borderId="0" applyFont="0" applyFill="0" applyBorder="0" applyAlignment="0" applyProtection="0"/>
    <xf numFmtId="238" fontId="105" fillId="0" borderId="0" applyFont="0" applyFill="0" applyBorder="0" applyAlignment="0" applyProtection="0"/>
    <xf numFmtId="239" fontId="104" fillId="0" borderId="0" applyFont="0" applyFill="0" applyBorder="0" applyAlignment="0" applyProtection="0"/>
    <xf numFmtId="179" fontId="128" fillId="0" borderId="0" applyFont="0" applyFill="0" applyBorder="0" applyAlignment="0" applyProtection="0"/>
    <xf numFmtId="194" fontId="104" fillId="0" borderId="0" applyFont="0" applyFill="0" applyBorder="0" applyAlignment="0" applyProtection="0"/>
    <xf numFmtId="194" fontId="104" fillId="0" borderId="0" applyFont="0" applyFill="0" applyBorder="0" applyAlignment="0" applyProtection="0"/>
    <xf numFmtId="240" fontId="105" fillId="0" borderId="0" applyFont="0" applyFill="0" applyBorder="0" applyAlignment="0" applyProtection="0"/>
    <xf numFmtId="241" fontId="104" fillId="0" borderId="0" applyFont="0" applyFill="0" applyBorder="0" applyAlignment="0" applyProtection="0"/>
    <xf numFmtId="241" fontId="104" fillId="0" borderId="0" applyFont="0" applyFill="0" applyBorder="0" applyAlignment="0" applyProtection="0"/>
    <xf numFmtId="242" fontId="7" fillId="0" borderId="0" applyFont="0" applyFill="0" applyBorder="0" applyAlignment="0" applyProtection="0"/>
    <xf numFmtId="174" fontId="105" fillId="0" borderId="0" applyFont="0" applyFill="0" applyBorder="0" applyAlignment="0" applyProtection="0"/>
    <xf numFmtId="241" fontId="104" fillId="0" borderId="0" applyFont="0" applyFill="0" applyBorder="0" applyAlignment="0" applyProtection="0"/>
    <xf numFmtId="240" fontId="105" fillId="0" borderId="0" applyFont="0" applyFill="0" applyBorder="0" applyAlignment="0" applyProtection="0"/>
    <xf numFmtId="211" fontId="33" fillId="0" borderId="0" applyFont="0" applyFill="0" applyBorder="0" applyAlignment="0" applyProtection="0"/>
    <xf numFmtId="41" fontId="104" fillId="0" borderId="0" applyFont="0" applyFill="0" applyBorder="0" applyAlignment="0" applyProtection="0"/>
    <xf numFmtId="243" fontId="104" fillId="0" borderId="0" applyFont="0" applyFill="0" applyBorder="0" applyAlignment="0" applyProtection="0"/>
    <xf numFmtId="177" fontId="104" fillId="0" borderId="0" applyFont="0" applyFill="0" applyBorder="0" applyAlignment="0" applyProtection="0"/>
    <xf numFmtId="0" fontId="10" fillId="0" borderId="0"/>
    <xf numFmtId="288" fontId="33"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179" fontId="128"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7" fontId="104" fillId="0" borderId="0" applyFont="0" applyFill="0" applyBorder="0" applyAlignment="0" applyProtection="0"/>
    <xf numFmtId="239" fontId="104" fillId="0" borderId="0" applyFont="0" applyFill="0" applyBorder="0" applyAlignment="0" applyProtection="0"/>
    <xf numFmtId="194" fontId="54" fillId="0" borderId="0" applyFont="0" applyFill="0" applyBorder="0" applyAlignment="0" applyProtection="0"/>
    <xf numFmtId="194" fontId="104" fillId="0" borderId="0" applyFont="0" applyFill="0" applyBorder="0" applyAlignment="0" applyProtection="0"/>
    <xf numFmtId="0" fontId="10" fillId="0" borderId="0"/>
    <xf numFmtId="288" fontId="33"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6" fontId="104" fillId="0" borderId="0" applyFont="0" applyFill="0" applyBorder="0" applyAlignment="0" applyProtection="0"/>
    <xf numFmtId="185" fontId="104" fillId="0" borderId="0" applyFont="0" applyFill="0" applyBorder="0" applyAlignment="0" applyProtection="0"/>
    <xf numFmtId="249"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171" fontId="5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177" fontId="105" fillId="0" borderId="0" applyFont="0" applyFill="0" applyBorder="0" applyAlignment="0" applyProtection="0"/>
    <xf numFmtId="250" fontId="104" fillId="0" borderId="0" applyFont="0" applyFill="0" applyBorder="0" applyAlignment="0" applyProtection="0"/>
    <xf numFmtId="185" fontId="104" fillId="0" borderId="0" applyFont="0" applyFill="0" applyBorder="0" applyAlignment="0" applyProtection="0"/>
    <xf numFmtId="250" fontId="104" fillId="0" borderId="0" applyFont="0" applyFill="0" applyBorder="0" applyAlignment="0" applyProtection="0"/>
    <xf numFmtId="251" fontId="7" fillId="0" borderId="0" applyFont="0" applyFill="0" applyBorder="0" applyAlignment="0" applyProtection="0"/>
    <xf numFmtId="178" fontId="105" fillId="0" borderId="0" applyFont="0" applyFill="0" applyBorder="0" applyAlignment="0" applyProtection="0"/>
    <xf numFmtId="250" fontId="104" fillId="0" borderId="0" applyFont="0" applyFill="0" applyBorder="0" applyAlignment="0" applyProtection="0"/>
    <xf numFmtId="177" fontId="105" fillId="0" borderId="0" applyFont="0" applyFill="0" applyBorder="0" applyAlignment="0" applyProtection="0"/>
    <xf numFmtId="252" fontId="33" fillId="0" borderId="0" applyFont="0" applyFill="0" applyBorder="0" applyAlignment="0" applyProtection="0"/>
    <xf numFmtId="244" fontId="104" fillId="0" borderId="0" applyFont="0" applyFill="0" applyBorder="0" applyAlignment="0" applyProtection="0"/>
    <xf numFmtId="174" fontId="104" fillId="0" borderId="0" applyFont="0" applyFill="0" applyBorder="0" applyAlignment="0" applyProtection="0"/>
    <xf numFmtId="174"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179" fontId="128"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9" fontId="128" fillId="0" borderId="0" applyFont="0" applyFill="0" applyBorder="0" applyAlignment="0" applyProtection="0"/>
    <xf numFmtId="179" fontId="128"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4" fontId="104" fillId="0" borderId="0" applyFont="0" applyFill="0" applyBorder="0" applyAlignment="0" applyProtection="0"/>
    <xf numFmtId="244"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184" fontId="104" fillId="0" borderId="0" applyFont="0" applyFill="0" applyBorder="0" applyAlignment="0" applyProtection="0"/>
    <xf numFmtId="245" fontId="104" fillId="0" borderId="0" applyFont="0" applyFill="0" applyBorder="0" applyAlignment="0" applyProtection="0"/>
    <xf numFmtId="41" fontId="104" fillId="0" borderId="0" applyFont="0" applyFill="0" applyBorder="0" applyAlignment="0" applyProtection="0"/>
    <xf numFmtId="185" fontId="54" fillId="0" borderId="0" applyFont="0" applyFill="0" applyBorder="0" applyAlignment="0" applyProtection="0"/>
    <xf numFmtId="41" fontId="104" fillId="0" borderId="0" applyFont="0" applyFill="0" applyBorder="0" applyAlignment="0" applyProtection="0"/>
    <xf numFmtId="185" fontId="5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84" fontId="104" fillId="0" borderId="0" applyFont="0" applyFill="0" applyBorder="0" applyAlignment="0" applyProtection="0"/>
    <xf numFmtId="246" fontId="104" fillId="0" borderId="0" applyFont="0" applyFill="0" applyBorder="0" applyAlignment="0" applyProtection="0"/>
    <xf numFmtId="244" fontId="104" fillId="0" borderId="0" applyFont="0" applyFill="0" applyBorder="0" applyAlignment="0" applyProtection="0"/>
    <xf numFmtId="247" fontId="104" fillId="0" borderId="0" applyFont="0" applyFill="0" applyBorder="0" applyAlignment="0" applyProtection="0"/>
    <xf numFmtId="248" fontId="104" fillId="0" borderId="0" applyFont="0" applyFill="0" applyBorder="0" applyAlignment="0" applyProtection="0"/>
    <xf numFmtId="41" fontId="104" fillId="0" borderId="0" applyFont="0" applyFill="0" applyBorder="0" applyAlignment="0" applyProtection="0"/>
    <xf numFmtId="247"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5" fontId="104" fillId="0" borderId="0" applyFont="0" applyFill="0" applyBorder="0" applyAlignment="0" applyProtection="0"/>
    <xf numFmtId="41" fontId="104" fillId="0" borderId="0" applyFont="0" applyFill="0" applyBorder="0" applyAlignment="0" applyProtection="0"/>
    <xf numFmtId="244" fontId="104" fillId="0" borderId="0" applyFont="0" applyFill="0" applyBorder="0" applyAlignment="0" applyProtection="0"/>
    <xf numFmtId="41" fontId="104" fillId="0" borderId="0" applyFont="0" applyFill="0" applyBorder="0" applyAlignment="0" applyProtection="0"/>
    <xf numFmtId="185" fontId="104" fillId="0" borderId="0" applyFont="0" applyFill="0" applyBorder="0" applyAlignment="0" applyProtection="0"/>
    <xf numFmtId="244" fontId="104" fillId="0" borderId="0" applyFont="0" applyFill="0" applyBorder="0" applyAlignment="0" applyProtection="0"/>
    <xf numFmtId="244" fontId="104" fillId="0" borderId="0" applyFont="0" applyFill="0" applyBorder="0" applyAlignment="0" applyProtection="0"/>
    <xf numFmtId="14" fontId="189" fillId="0" borderId="0"/>
    <xf numFmtId="0" fontId="190" fillId="0" borderId="0"/>
    <xf numFmtId="0" fontId="43" fillId="0" borderId="0"/>
    <xf numFmtId="40" fontId="191" fillId="0" borderId="0" applyBorder="0">
      <alignment horizontal="right"/>
    </xf>
    <xf numFmtId="0" fontId="192" fillId="0" borderId="0"/>
    <xf numFmtId="193" fontId="33" fillId="0" borderId="26">
      <alignment horizontal="right" vertical="center"/>
    </xf>
    <xf numFmtId="193" fontId="33" fillId="0" borderId="26">
      <alignment horizontal="right" vertical="center"/>
    </xf>
    <xf numFmtId="173" fontId="193" fillId="0" borderId="26">
      <alignment horizontal="right" vertical="center"/>
    </xf>
    <xf numFmtId="172" fontId="96"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55" fillId="0" borderId="26">
      <alignment horizontal="right" vertical="center"/>
    </xf>
    <xf numFmtId="289" fontId="33" fillId="0" borderId="3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93" fontId="33" fillId="0" borderId="26">
      <alignment horizontal="right" vertical="center"/>
    </xf>
    <xf numFmtId="289" fontId="33" fillId="0" borderId="36">
      <alignment horizontal="right" vertical="center"/>
    </xf>
    <xf numFmtId="175" fontId="10" fillId="0" borderId="26">
      <alignment horizontal="right" vertical="center"/>
    </xf>
    <xf numFmtId="172" fontId="96" fillId="0" borderId="26">
      <alignment horizontal="right" vertical="center"/>
    </xf>
    <xf numFmtId="172" fontId="96" fillId="0" borderId="26">
      <alignment horizontal="right" vertical="center"/>
    </xf>
    <xf numFmtId="175" fontId="10" fillId="0" borderId="26">
      <alignment horizontal="right" vertical="center"/>
    </xf>
    <xf numFmtId="236" fontId="12" fillId="0" borderId="26">
      <alignment horizontal="right" vertical="center"/>
    </xf>
    <xf numFmtId="290" fontId="12" fillId="0" borderId="26">
      <alignment horizontal="right" vertical="center"/>
    </xf>
    <xf numFmtId="291" fontId="104" fillId="0" borderId="26">
      <alignment horizontal="right" vertical="center"/>
    </xf>
    <xf numFmtId="292" fontId="12" fillId="0" borderId="26">
      <alignment horizontal="right" vertical="center"/>
    </xf>
    <xf numFmtId="292" fontId="12" fillId="0" borderId="26">
      <alignment horizontal="right" vertical="center"/>
    </xf>
    <xf numFmtId="290" fontId="12" fillId="0" borderId="26">
      <alignment horizontal="right" vertical="center"/>
    </xf>
    <xf numFmtId="175" fontId="10" fillId="0" borderId="26">
      <alignment horizontal="right" vertical="center"/>
    </xf>
    <xf numFmtId="236" fontId="12" fillId="0" borderId="26">
      <alignment horizontal="right" vertical="center"/>
    </xf>
    <xf numFmtId="175" fontId="10" fillId="0" borderId="26">
      <alignment horizontal="right" vertical="center"/>
    </xf>
    <xf numFmtId="172" fontId="96" fillId="0" borderId="26">
      <alignment horizontal="right" vertical="center"/>
    </xf>
    <xf numFmtId="172" fontId="96" fillId="0" borderId="26">
      <alignment horizontal="right" vertical="center"/>
    </xf>
    <xf numFmtId="293" fontId="54" fillId="0" borderId="26">
      <alignment horizontal="right" vertical="center"/>
    </xf>
    <xf numFmtId="175" fontId="10" fillId="0" borderId="26">
      <alignment horizontal="right" vertical="center"/>
    </xf>
    <xf numFmtId="289" fontId="33" fillId="0" borderId="3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289" fontId="33" fillId="0" borderId="36">
      <alignment horizontal="right" vertical="center"/>
    </xf>
    <xf numFmtId="290" fontId="12" fillId="0" borderId="26">
      <alignment horizontal="right" vertical="center"/>
    </xf>
    <xf numFmtId="291" fontId="104" fillId="0" borderId="26">
      <alignment horizontal="right" vertical="center"/>
    </xf>
    <xf numFmtId="290" fontId="12" fillId="0" borderId="26">
      <alignment horizontal="right" vertical="center"/>
    </xf>
    <xf numFmtId="292" fontId="12"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290" fontId="12" fillId="0" borderId="26">
      <alignment horizontal="right" vertical="center"/>
    </xf>
    <xf numFmtId="294" fontId="194" fillId="2" borderId="37" applyFont="0" applyFill="0" applyBorder="0"/>
    <xf numFmtId="290" fontId="12" fillId="0" borderId="26">
      <alignment horizontal="right" vertical="center"/>
    </xf>
    <xf numFmtId="289" fontId="33" fillId="0" borderId="36">
      <alignment horizontal="right" vertical="center"/>
    </xf>
    <xf numFmtId="193" fontId="33" fillId="0" borderId="26">
      <alignment horizontal="right" vertical="center"/>
    </xf>
    <xf numFmtId="193" fontId="33" fillId="0" borderId="26">
      <alignment horizontal="right" vertical="center"/>
    </xf>
    <xf numFmtId="171" fontId="33" fillId="0" borderId="26">
      <alignment horizontal="right" vertical="center"/>
    </xf>
    <xf numFmtId="294" fontId="194" fillId="2" borderId="37" applyFont="0" applyFill="0" applyBorder="0"/>
    <xf numFmtId="295" fontId="7"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71" fontId="33" fillId="0" borderId="26">
      <alignment horizontal="right" vertical="center"/>
    </xf>
    <xf numFmtId="236" fontId="12" fillId="0" borderId="26">
      <alignment horizontal="right" vertical="center"/>
    </xf>
    <xf numFmtId="289" fontId="33" fillId="0" borderId="36">
      <alignment horizontal="right" vertical="center"/>
    </xf>
    <xf numFmtId="290" fontId="12" fillId="0" borderId="26">
      <alignment horizontal="right" vertical="center"/>
    </xf>
    <xf numFmtId="291" fontId="104" fillId="0" borderId="26">
      <alignment horizontal="right" vertical="center"/>
    </xf>
    <xf numFmtId="290" fontId="12" fillId="0" borderId="26">
      <alignment horizontal="right" vertical="center"/>
    </xf>
    <xf numFmtId="193" fontId="33" fillId="0" borderId="26">
      <alignment horizontal="right" vertical="center"/>
    </xf>
    <xf numFmtId="236" fontId="12" fillId="0" borderId="26">
      <alignment horizontal="right" vertical="center"/>
    </xf>
    <xf numFmtId="236" fontId="12" fillId="0" borderId="26">
      <alignment horizontal="right" vertical="center"/>
    </xf>
    <xf numFmtId="296" fontId="54" fillId="0" borderId="26">
      <alignment horizontal="right" vertical="center"/>
    </xf>
    <xf numFmtId="289" fontId="33" fillId="0" borderId="36">
      <alignment horizontal="right" vertical="center"/>
    </xf>
    <xf numFmtId="297" fontId="12"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290" fontId="12" fillId="0" borderId="26">
      <alignment horizontal="right" vertical="center"/>
    </xf>
    <xf numFmtId="292" fontId="12" fillId="0" borderId="26">
      <alignment horizontal="right" vertical="center"/>
    </xf>
    <xf numFmtId="238" fontId="12"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294" fontId="194" fillId="2" borderId="37" applyFont="0" applyFill="0" applyBorder="0"/>
    <xf numFmtId="290" fontId="12"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290" fontId="12"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298" fontId="96" fillId="0" borderId="26">
      <alignment horizontal="right" vertical="center"/>
    </xf>
    <xf numFmtId="290" fontId="12" fillId="0" borderId="26">
      <alignment horizontal="right" vertical="center"/>
    </xf>
    <xf numFmtId="294" fontId="194" fillId="2" borderId="37" applyFont="0" applyFill="0" applyBorder="0"/>
    <xf numFmtId="294" fontId="194" fillId="2" borderId="37" applyFont="0" applyFill="0" applyBorder="0"/>
    <xf numFmtId="192" fontId="33" fillId="0" borderId="26">
      <alignment horizontal="right" vertical="center"/>
    </xf>
    <xf numFmtId="175" fontId="10" fillId="0" borderId="26">
      <alignment horizontal="right" vertical="center"/>
    </xf>
    <xf numFmtId="172" fontId="96" fillId="0" borderId="26">
      <alignment horizontal="right" vertical="center"/>
    </xf>
    <xf numFmtId="290" fontId="12" fillId="0" borderId="26">
      <alignment horizontal="right" vertical="center"/>
    </xf>
    <xf numFmtId="193" fontId="33" fillId="0" borderId="26">
      <alignment horizontal="right" vertical="center"/>
    </xf>
    <xf numFmtId="193" fontId="33"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72" fontId="96" fillId="0" borderId="26">
      <alignment horizontal="right" vertical="center"/>
    </xf>
    <xf numFmtId="193" fontId="33" fillId="0" borderId="26">
      <alignment horizontal="right" vertical="center"/>
    </xf>
    <xf numFmtId="294" fontId="194" fillId="2" borderId="37" applyFont="0" applyFill="0" applyBorder="0"/>
    <xf numFmtId="206" fontId="12" fillId="0" borderId="26">
      <alignment horizontal="right" vertical="center"/>
    </xf>
    <xf numFmtId="206" fontId="12" fillId="0" borderId="26">
      <alignment horizontal="right" vertical="center"/>
    </xf>
    <xf numFmtId="206" fontId="12" fillId="0" borderId="26">
      <alignment horizontal="right" vertical="center"/>
    </xf>
    <xf numFmtId="206" fontId="12" fillId="0" borderId="26">
      <alignment horizontal="right" vertical="center"/>
    </xf>
    <xf numFmtId="193" fontId="33" fillId="0" borderId="26">
      <alignment horizontal="right" vertical="center"/>
    </xf>
    <xf numFmtId="206" fontId="56" fillId="0" borderId="26">
      <alignment horizontal="right" vertical="center"/>
    </xf>
    <xf numFmtId="299" fontId="12" fillId="0" borderId="36">
      <alignment horizontal="right" vertical="center"/>
    </xf>
    <xf numFmtId="299" fontId="12" fillId="0" borderId="36">
      <alignment horizontal="right" vertical="center"/>
    </xf>
    <xf numFmtId="299" fontId="12" fillId="0" borderId="36">
      <alignment horizontal="right" vertical="center"/>
    </xf>
    <xf numFmtId="299" fontId="12" fillId="0" borderId="36">
      <alignment horizontal="right" vertical="center"/>
    </xf>
    <xf numFmtId="299" fontId="12" fillId="0" borderId="36">
      <alignment horizontal="right" vertical="center"/>
    </xf>
    <xf numFmtId="173" fontId="193" fillId="0" borderId="26">
      <alignment horizontal="right" vertical="center"/>
    </xf>
    <xf numFmtId="193" fontId="33" fillId="0" borderId="26">
      <alignment horizontal="right" vertical="center"/>
    </xf>
    <xf numFmtId="238" fontId="12" fillId="0" borderId="26">
      <alignment horizontal="right" vertical="center"/>
    </xf>
    <xf numFmtId="175" fontId="10" fillId="0" borderId="26">
      <alignment horizontal="right" vertical="center"/>
    </xf>
    <xf numFmtId="193" fontId="33" fillId="0" borderId="26">
      <alignment horizontal="right" vertical="center"/>
    </xf>
    <xf numFmtId="193" fontId="33" fillId="0" borderId="26">
      <alignment horizontal="right" vertical="center"/>
    </xf>
    <xf numFmtId="193" fontId="33" fillId="0" borderId="26">
      <alignment horizontal="right" vertical="center"/>
    </xf>
    <xf numFmtId="175" fontId="10" fillId="0" borderId="26">
      <alignment horizontal="right" vertical="center"/>
    </xf>
    <xf numFmtId="193" fontId="33" fillId="0" borderId="26">
      <alignment horizontal="right" vertical="center"/>
    </xf>
    <xf numFmtId="290" fontId="12" fillId="0" borderId="26">
      <alignment horizontal="right" vertical="center"/>
    </xf>
    <xf numFmtId="193" fontId="33" fillId="0" borderId="26">
      <alignment horizontal="right" vertical="center"/>
    </xf>
    <xf numFmtId="289" fontId="33" fillId="0" borderId="36">
      <alignment horizontal="right" vertical="center"/>
    </xf>
    <xf numFmtId="289" fontId="33" fillId="0" borderId="36">
      <alignment horizontal="right" vertical="center"/>
    </xf>
    <xf numFmtId="289" fontId="33" fillId="0" borderId="36">
      <alignment horizontal="right" vertical="center"/>
    </xf>
    <xf numFmtId="289" fontId="33" fillId="0" borderId="36">
      <alignment horizontal="right" vertical="center"/>
    </xf>
    <xf numFmtId="289" fontId="33" fillId="0" borderId="36">
      <alignment horizontal="right" vertical="center"/>
    </xf>
    <xf numFmtId="193" fontId="33" fillId="0" borderId="26">
      <alignment horizontal="right" vertical="center"/>
    </xf>
    <xf numFmtId="192" fontId="33" fillId="0" borderId="26">
      <alignment horizontal="right" vertical="center"/>
    </xf>
    <xf numFmtId="300" fontId="195" fillId="0" borderId="26">
      <alignment horizontal="right" vertical="center"/>
    </xf>
    <xf numFmtId="49" fontId="98" fillId="0" borderId="0" applyFill="0" applyBorder="0" applyProtection="0">
      <alignment horizontal="center" vertical="center" wrapText="1" shrinkToFit="1"/>
    </xf>
    <xf numFmtId="49" fontId="35" fillId="0" borderId="0" applyFill="0" applyBorder="0" applyAlignment="0"/>
    <xf numFmtId="190" fontId="1" fillId="0" borderId="0" applyFill="0" applyBorder="0" applyAlignment="0"/>
    <xf numFmtId="191" fontId="1" fillId="0" borderId="0" applyFill="0" applyBorder="0" applyAlignment="0"/>
    <xf numFmtId="49" fontId="98" fillId="0" borderId="0" applyFill="0" applyBorder="0" applyProtection="0">
      <alignment horizontal="center" vertical="center" wrapText="1" shrinkToFit="1"/>
    </xf>
    <xf numFmtId="194" fontId="33" fillId="0" borderId="26">
      <alignment horizontal="center"/>
    </xf>
    <xf numFmtId="301" fontId="196" fillId="0" borderId="0" applyNumberFormat="0" applyFont="0" applyFill="0" applyBorder="0" applyAlignment="0">
      <alignment horizontal="centerContinuous"/>
    </xf>
    <xf numFmtId="198" fontId="68" fillId="0" borderId="0">
      <alignment horizontal="center"/>
      <protection locked="0"/>
    </xf>
    <xf numFmtId="0" fontId="57" fillId="0" borderId="38"/>
    <xf numFmtId="0" fontId="33" fillId="0" borderId="0" applyNumberFormat="0" applyFill="0" applyBorder="0" applyAlignment="0" applyProtection="0"/>
    <xf numFmtId="0" fontId="7" fillId="0" borderId="0" applyNumberFormat="0" applyFill="0" applyBorder="0" applyAlignment="0" applyProtection="0"/>
    <xf numFmtId="0" fontId="49" fillId="0" borderId="0" applyNumberFormat="0" applyFill="0" applyBorder="0" applyAlignment="0" applyProtection="0"/>
    <xf numFmtId="0" fontId="128" fillId="0" borderId="4" applyNumberFormat="0" applyBorder="0" applyAlignment="0"/>
    <xf numFmtId="0" fontId="197" fillId="0" borderId="31" applyNumberFormat="0" applyBorder="0" applyAlignment="0">
      <alignment horizontal="center"/>
    </xf>
    <xf numFmtId="3" fontId="198" fillId="0" borderId="22" applyNumberFormat="0" applyBorder="0" applyAlignment="0"/>
    <xf numFmtId="0" fontId="199" fillId="0" borderId="4">
      <alignment horizontal="center" vertical="center" wrapText="1"/>
    </xf>
    <xf numFmtId="0" fontId="90" fillId="0" borderId="0" applyNumberFormat="0" applyFill="0" applyBorder="0" applyAlignment="0" applyProtection="0"/>
    <xf numFmtId="40" fontId="74" fillId="0" borderId="0"/>
    <xf numFmtId="0" fontId="82" fillId="23" borderId="9" applyNumberFormat="0" applyAlignment="0" applyProtection="0"/>
    <xf numFmtId="3" fontId="200" fillId="0" borderId="0" applyNumberFormat="0" applyFill="0" applyBorder="0" applyAlignment="0" applyProtection="0">
      <alignment horizontal="center" wrapText="1"/>
    </xf>
    <xf numFmtId="0" fontId="201" fillId="0" borderId="27" applyBorder="0" applyAlignment="0">
      <alignment horizontal="center" vertical="center"/>
    </xf>
    <xf numFmtId="0" fontId="202" fillId="0" borderId="0" applyNumberFormat="0" applyFill="0" applyBorder="0" applyAlignment="0" applyProtection="0">
      <alignment horizontal="centerContinuous"/>
    </xf>
    <xf numFmtId="0" fontId="157" fillId="0" borderId="39" applyNumberFormat="0" applyFill="0" applyBorder="0" applyAlignment="0" applyProtection="0">
      <alignment horizontal="center" vertical="center" wrapText="1"/>
    </xf>
    <xf numFmtId="0" fontId="90" fillId="0" borderId="0" applyNumberFormat="0" applyFill="0" applyBorder="0" applyAlignment="0" applyProtection="0"/>
    <xf numFmtId="0" fontId="203" fillId="0" borderId="40" applyNumberFormat="0" applyFill="0" applyAlignment="0" applyProtection="0"/>
    <xf numFmtId="3" fontId="23" fillId="0" borderId="14" applyNumberFormat="0" applyAlignment="0">
      <alignment horizontal="center" vertical="center"/>
    </xf>
    <xf numFmtId="3" fontId="204" fillId="0" borderId="4" applyNumberFormat="0" applyAlignment="0">
      <alignment horizontal="left" wrapText="1"/>
    </xf>
    <xf numFmtId="0" fontId="205" fillId="0" borderId="41" applyNumberFormat="0" applyBorder="0" applyAlignment="0">
      <alignment vertical="center"/>
    </xf>
    <xf numFmtId="0" fontId="85" fillId="7" borderId="0" applyNumberFormat="0" applyBorder="0" applyAlignment="0" applyProtection="0"/>
    <xf numFmtId="0" fontId="7" fillId="0" borderId="7" applyNumberFormat="0" applyFont="0" applyFill="0" applyAlignment="0" applyProtection="0"/>
    <xf numFmtId="0" fontId="7" fillId="0" borderId="7" applyNumberFormat="0" applyFont="0" applyFill="0" applyAlignment="0" applyProtection="0"/>
    <xf numFmtId="0" fontId="203" fillId="0" borderId="40" applyNumberFormat="0" applyFill="0" applyAlignment="0" applyProtection="0"/>
    <xf numFmtId="0" fontId="44" fillId="0" borderId="42" applyNumberFormat="0" applyAlignment="0">
      <alignment horizontal="center"/>
    </xf>
    <xf numFmtId="0" fontId="88" fillId="30" borderId="0" applyNumberFormat="0" applyBorder="0" applyAlignment="0" applyProtection="0"/>
    <xf numFmtId="0" fontId="206" fillId="0" borderId="43">
      <alignment horizontal="center"/>
    </xf>
    <xf numFmtId="3" fontId="207" fillId="0" borderId="0" applyFill="0">
      <alignment vertical="center"/>
    </xf>
    <xf numFmtId="174" fontId="7" fillId="0" borderId="0" applyFont="0" applyFill="0" applyBorder="0" applyAlignment="0" applyProtection="0"/>
    <xf numFmtId="228" fontId="7" fillId="0" borderId="0" applyFont="0" applyFill="0" applyBorder="0" applyAlignment="0" applyProtection="0"/>
    <xf numFmtId="179" fontId="208" fillId="0" borderId="44" applyNumberFormat="0" applyFont="0" applyAlignment="0">
      <alignment horizontal="centerContinuous"/>
    </xf>
    <xf numFmtId="218" fontId="29" fillId="0" borderId="0" applyFont="0" applyFill="0" applyBorder="0" applyAlignment="0" applyProtection="0"/>
    <xf numFmtId="302" fontId="12" fillId="0" borderId="0" applyFont="0" applyFill="0" applyBorder="0" applyAlignment="0" applyProtection="0"/>
    <xf numFmtId="303" fontId="12" fillId="0" borderId="0" applyFon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2" fillId="0" borderId="45">
      <alignment horizontal="center"/>
    </xf>
    <xf numFmtId="191" fontId="33" fillId="0" borderId="0"/>
    <xf numFmtId="192" fontId="33" fillId="0" borderId="1"/>
    <xf numFmtId="0" fontId="209" fillId="0" borderId="0"/>
    <xf numFmtId="0" fontId="17" fillId="0" borderId="0"/>
    <xf numFmtId="0" fontId="210" fillId="0" borderId="0"/>
    <xf numFmtId="3" fontId="33" fillId="0" borderId="0" applyNumberFormat="0" applyBorder="0" applyAlignment="0" applyProtection="0">
      <alignment horizontal="centerContinuous"/>
      <protection locked="0"/>
    </xf>
    <xf numFmtId="3" fontId="211" fillId="0" borderId="0">
      <protection locked="0"/>
    </xf>
    <xf numFmtId="0" fontId="17" fillId="0" borderId="0"/>
    <xf numFmtId="0" fontId="212" fillId="0" borderId="46" applyFill="0" applyBorder="0" applyAlignment="0">
      <alignment horizontal="center"/>
    </xf>
    <xf numFmtId="164" fontId="58" fillId="46" borderId="27">
      <alignment vertical="top"/>
    </xf>
    <xf numFmtId="0" fontId="13" fillId="47" borderId="1">
      <alignment horizontal="left" vertical="center"/>
    </xf>
    <xf numFmtId="165" fontId="59" fillId="48" borderId="27"/>
    <xf numFmtId="164" fontId="14" fillId="0" borderId="27">
      <alignment horizontal="left" vertical="top"/>
    </xf>
    <xf numFmtId="0" fontId="60" fillId="49" borderId="0">
      <alignment horizontal="left" vertical="center"/>
    </xf>
    <xf numFmtId="164" fontId="10" fillId="0" borderId="14">
      <alignment horizontal="left" vertical="top"/>
    </xf>
    <xf numFmtId="0" fontId="18" fillId="0" borderId="14">
      <alignment horizontal="left" vertical="center"/>
    </xf>
    <xf numFmtId="0" fontId="7" fillId="0" borderId="0" applyFont="0" applyFill="0" applyBorder="0" applyAlignment="0" applyProtection="0"/>
    <xf numFmtId="0" fontId="7" fillId="0" borderId="0" applyFont="0" applyFill="0" applyBorder="0" applyAlignment="0" applyProtection="0"/>
    <xf numFmtId="195" fontId="1" fillId="0" borderId="0" applyFont="0" applyFill="0" applyBorder="0" applyAlignment="0" applyProtection="0"/>
    <xf numFmtId="196" fontId="1" fillId="0" borderId="0" applyFont="0" applyFill="0" applyBorder="0" applyAlignment="0" applyProtection="0"/>
    <xf numFmtId="177" fontId="142" fillId="0" borderId="0" applyFont="0" applyFill="0" applyBorder="0" applyAlignment="0" applyProtection="0"/>
    <xf numFmtId="178" fontId="142"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7" fillId="0" borderId="0" applyFont="0" applyFill="0" applyBorder="0" applyAlignment="0" applyProtection="0"/>
    <xf numFmtId="0" fontId="7" fillId="0" borderId="0" applyFont="0" applyFill="0" applyBorder="0" applyAlignment="0" applyProtection="0"/>
    <xf numFmtId="0" fontId="81" fillId="6" borderId="0" applyNumberFormat="0" applyBorder="0" applyAlignment="0" applyProtection="0"/>
    <xf numFmtId="0" fontId="61" fillId="0" borderId="0" applyNumberFormat="0" applyFill="0" applyBorder="0" applyAlignment="0" applyProtection="0"/>
    <xf numFmtId="0" fontId="96" fillId="0" borderId="47" applyFont="0" applyBorder="0" applyAlignment="0">
      <alignment horizontal="center"/>
    </xf>
    <xf numFmtId="174" fontId="12" fillId="0" borderId="0" applyFont="0" applyFill="0" applyBorder="0" applyAlignment="0" applyProtection="0"/>
    <xf numFmtId="167" fontId="62" fillId="0" borderId="0" applyFont="0" applyFill="0" applyBorder="0" applyAlignment="0" applyProtection="0"/>
    <xf numFmtId="169" fontId="62" fillId="0" borderId="0" applyFont="0" applyFill="0" applyBorder="0" applyAlignment="0" applyProtection="0"/>
    <xf numFmtId="0" fontId="62" fillId="0" borderId="0"/>
    <xf numFmtId="0" fontId="8" fillId="0" borderId="0" applyFont="0" applyFill="0" applyBorder="0" applyAlignment="0" applyProtection="0"/>
    <xf numFmtId="0" fontId="8" fillId="0" borderId="0" applyFont="0" applyFill="0" applyBorder="0" applyAlignment="0" applyProtection="0"/>
    <xf numFmtId="0" fontId="9" fillId="0" borderId="0">
      <alignment vertical="center"/>
    </xf>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15" fillId="0" borderId="0" applyBorder="0" applyAlignment="0" applyProtection="0"/>
    <xf numFmtId="0" fontId="5" fillId="0" borderId="0"/>
    <xf numFmtId="0" fontId="216" fillId="0" borderId="3"/>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applyFont="0" applyFill="0" applyBorder="0" applyAlignment="0" applyProtection="0"/>
    <xf numFmtId="0" fontId="64"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0" fontId="48" fillId="0" borderId="0"/>
    <xf numFmtId="0" fontId="217" fillId="0" borderId="0"/>
    <xf numFmtId="0" fontId="3" fillId="0" borderId="0"/>
    <xf numFmtId="174" fontId="22" fillId="0" borderId="0" applyFont="0" applyFill="0" applyBorder="0" applyAlignment="0" applyProtection="0"/>
    <xf numFmtId="176" fontId="22" fillId="0" borderId="0" applyFont="0" applyFill="0" applyBorder="0" applyAlignment="0" applyProtection="0"/>
    <xf numFmtId="214" fontId="17" fillId="0" borderId="0" applyFont="0" applyFill="0" applyBorder="0" applyAlignment="0" applyProtection="0"/>
    <xf numFmtId="215" fontId="17" fillId="0" borderId="0" applyFont="0" applyFill="0" applyBorder="0" applyAlignment="0" applyProtection="0"/>
    <xf numFmtId="0" fontId="7" fillId="0" borderId="0"/>
    <xf numFmtId="177" fontId="22" fillId="0" borderId="0" applyFont="0" applyFill="0" applyBorder="0" applyAlignment="0" applyProtection="0"/>
    <xf numFmtId="165" fontId="6" fillId="0" borderId="0" applyFont="0" applyFill="0" applyBorder="0" applyAlignment="0" applyProtection="0"/>
    <xf numFmtId="178" fontId="22" fillId="0" borderId="0" applyFont="0" applyFill="0" applyBorder="0" applyAlignment="0" applyProtection="0"/>
    <xf numFmtId="216" fontId="7" fillId="0" borderId="0" applyFont="0" applyFill="0" applyBorder="0" applyAlignment="0" applyProtection="0"/>
    <xf numFmtId="177" fontId="17" fillId="0" borderId="0" applyFont="0" applyFill="0" applyBorder="0" applyAlignment="0" applyProtection="0"/>
  </cellStyleXfs>
  <cellXfs count="768">
    <xf numFmtId="0" fontId="0" fillId="0" borderId="0" xfId="0"/>
    <xf numFmtId="0" fontId="296" fillId="0" borderId="0" xfId="0" applyFont="1" applyFill="1" applyAlignment="1">
      <alignment horizontal="left" vertical="center"/>
    </xf>
    <xf numFmtId="0" fontId="254" fillId="0" borderId="0" xfId="0" applyNumberFormat="1" applyFont="1" applyFill="1" applyAlignment="1">
      <alignment horizontal="left" vertical="center"/>
    </xf>
    <xf numFmtId="0" fontId="7" fillId="0" borderId="0" xfId="0" applyFont="1" applyFill="1"/>
    <xf numFmtId="0" fontId="7" fillId="0" borderId="0" xfId="0" applyFont="1" applyFill="1" applyBorder="1"/>
    <xf numFmtId="0" fontId="70" fillId="0" borderId="0" xfId="0" applyFont="1" applyFill="1" applyAlignment="1"/>
    <xf numFmtId="0" fontId="71" fillId="0" borderId="0" xfId="0" applyFont="1" applyFill="1" applyAlignment="1"/>
    <xf numFmtId="0" fontId="65" fillId="0" borderId="0" xfId="0" applyFont="1" applyFill="1"/>
    <xf numFmtId="170" fontId="7" fillId="0" borderId="0" xfId="0" applyNumberFormat="1" applyFont="1" applyFill="1"/>
    <xf numFmtId="209" fontId="34" fillId="0" borderId="4" xfId="1378" applyNumberFormat="1" applyFont="1" applyFill="1" applyBorder="1" applyAlignment="1">
      <alignment vertical="center"/>
    </xf>
    <xf numFmtId="0" fontId="7" fillId="0" borderId="0" xfId="0" applyFont="1" applyFill="1" applyAlignment="1">
      <alignment horizontal="center"/>
    </xf>
    <xf numFmtId="170" fontId="7" fillId="0" borderId="0" xfId="0" applyNumberFormat="1" applyFont="1" applyFill="1" applyAlignment="1">
      <alignment horizontal="center"/>
    </xf>
    <xf numFmtId="170" fontId="65" fillId="0" borderId="0" xfId="0" applyNumberFormat="1" applyFont="1" applyFill="1"/>
    <xf numFmtId="0" fontId="239" fillId="0" borderId="0" xfId="0" applyFont="1" applyAlignment="1">
      <alignment vertical="center"/>
    </xf>
    <xf numFmtId="0" fontId="239" fillId="0" borderId="0" xfId="0" applyFont="1"/>
    <xf numFmtId="0" fontId="240" fillId="0" borderId="0" xfId="0" applyFont="1" applyAlignment="1">
      <alignment vertical="center"/>
    </xf>
    <xf numFmtId="0" fontId="239" fillId="50" borderId="0" xfId="0" applyFont="1" applyFill="1"/>
    <xf numFmtId="0" fontId="241" fillId="0" borderId="0" xfId="0" applyFont="1"/>
    <xf numFmtId="0" fontId="242" fillId="0" borderId="0" xfId="0" applyFont="1" applyAlignment="1">
      <alignment horizontal="center"/>
    </xf>
    <xf numFmtId="0" fontId="243" fillId="0" borderId="0" xfId="0" applyFont="1"/>
    <xf numFmtId="0" fontId="243" fillId="50" borderId="0" xfId="0" applyFont="1" applyFill="1"/>
    <xf numFmtId="0" fontId="241" fillId="50" borderId="0" xfId="0" applyFont="1" applyFill="1"/>
    <xf numFmtId="0" fontId="241" fillId="0" borderId="0" xfId="0" applyFont="1" applyAlignment="1">
      <alignment vertical="center"/>
    </xf>
    <xf numFmtId="0" fontId="244" fillId="0" borderId="0" xfId="0" applyFont="1" applyAlignment="1">
      <alignment vertical="center"/>
    </xf>
    <xf numFmtId="0" fontId="70" fillId="0" borderId="0" xfId="1326" applyFont="1" applyAlignment="1">
      <alignment horizontal="centerContinuous"/>
    </xf>
    <xf numFmtId="0" fontId="9" fillId="0" borderId="0" xfId="1326" applyFont="1" applyAlignment="1">
      <alignment horizontal="centerContinuous"/>
    </xf>
    <xf numFmtId="0" fontId="9" fillId="0" borderId="0" xfId="1326" applyFont="1"/>
    <xf numFmtId="0" fontId="77" fillId="0" borderId="0" xfId="1326" applyFont="1" applyAlignment="1">
      <alignment horizontal="left"/>
    </xf>
    <xf numFmtId="0" fontId="70" fillId="0" borderId="1" xfId="1326" applyFont="1" applyBorder="1" applyAlignment="1">
      <alignment horizontal="center" vertical="center"/>
    </xf>
    <xf numFmtId="0" fontId="70" fillId="0" borderId="0" xfId="1326" applyFont="1" applyAlignment="1">
      <alignment vertical="center"/>
    </xf>
    <xf numFmtId="0" fontId="77" fillId="0" borderId="0" xfId="0" applyFont="1"/>
    <xf numFmtId="0" fontId="77" fillId="0" borderId="0" xfId="1326" applyFont="1"/>
    <xf numFmtId="0" fontId="9" fillId="0" borderId="4" xfId="1326" applyFont="1" applyBorder="1" applyAlignment="1">
      <alignment horizontal="center"/>
    </xf>
    <xf numFmtId="0" fontId="9" fillId="0" borderId="48" xfId="1326" applyFont="1" applyBorder="1"/>
    <xf numFmtId="0" fontId="77" fillId="0" borderId="0" xfId="1326" applyFont="1" applyBorder="1" applyAlignment="1">
      <alignment horizontal="right"/>
    </xf>
    <xf numFmtId="0" fontId="70" fillId="0" borderId="22" xfId="1326" applyFont="1" applyBorder="1" applyAlignment="1">
      <alignment horizontal="center"/>
    </xf>
    <xf numFmtId="0" fontId="71" fillId="0" borderId="22" xfId="1326" applyFont="1" applyBorder="1"/>
    <xf numFmtId="179" fontId="245" fillId="0" borderId="0" xfId="0" applyNumberFormat="1" applyFont="1"/>
    <xf numFmtId="179" fontId="244" fillId="0" borderId="0" xfId="0" applyNumberFormat="1" applyFont="1" applyAlignment="1">
      <alignment vertical="center"/>
    </xf>
    <xf numFmtId="179" fontId="7" fillId="0" borderId="0" xfId="906" applyNumberFormat="1" applyFont="1" applyFill="1"/>
    <xf numFmtId="179" fontId="65" fillId="0" borderId="0" xfId="906" applyNumberFormat="1" applyFont="1" applyFill="1" applyAlignment="1">
      <alignment horizontal="left"/>
    </xf>
    <xf numFmtId="179" fontId="66" fillId="0" borderId="0" xfId="906" applyNumberFormat="1" applyFont="1" applyFill="1"/>
    <xf numFmtId="3" fontId="70" fillId="0" borderId="22" xfId="1326" applyNumberFormat="1" applyFont="1" applyBorder="1"/>
    <xf numFmtId="179" fontId="9" fillId="0" borderId="4" xfId="906" applyNumberFormat="1" applyFont="1" applyBorder="1"/>
    <xf numFmtId="179" fontId="9" fillId="0" borderId="0" xfId="906" applyNumberFormat="1" applyFont="1"/>
    <xf numFmtId="179" fontId="70" fillId="0" borderId="0" xfId="906" applyNumberFormat="1" applyFont="1" applyAlignment="1">
      <alignment vertical="center"/>
    </xf>
    <xf numFmtId="0" fontId="246" fillId="0" borderId="0" xfId="1362" applyFont="1"/>
    <xf numFmtId="0" fontId="233" fillId="0" borderId="0" xfId="1362"/>
    <xf numFmtId="0" fontId="247" fillId="0" borderId="0" xfId="1362" applyFont="1" applyAlignment="1">
      <alignment horizontal="right" vertical="center"/>
    </xf>
    <xf numFmtId="217" fontId="233" fillId="0" borderId="0" xfId="1362" applyNumberFormat="1"/>
    <xf numFmtId="0" fontId="246" fillId="51" borderId="1" xfId="1362" applyFont="1" applyFill="1" applyBorder="1" applyAlignment="1">
      <alignment horizontal="center" vertical="center" wrapText="1"/>
    </xf>
    <xf numFmtId="0" fontId="248" fillId="0" borderId="0" xfId="1362" applyFont="1"/>
    <xf numFmtId="0" fontId="246" fillId="0" borderId="22" xfId="1362" applyFont="1" applyBorder="1" applyAlignment="1">
      <alignment horizontal="center" vertical="center" wrapText="1"/>
    </xf>
    <xf numFmtId="0" fontId="246" fillId="0" borderId="4" xfId="1362" applyFont="1" applyBorder="1" applyAlignment="1">
      <alignment horizontal="center" vertical="center" wrapText="1"/>
    </xf>
    <xf numFmtId="0" fontId="246" fillId="0" borderId="4" xfId="1362" applyFont="1" applyBorder="1" applyAlignment="1">
      <alignment vertical="center" wrapText="1"/>
    </xf>
    <xf numFmtId="0" fontId="249" fillId="0" borderId="4" xfId="1362" applyFont="1" applyBorder="1" applyAlignment="1">
      <alignment horizontal="center" vertical="center" wrapText="1"/>
    </xf>
    <xf numFmtId="0" fontId="249" fillId="0" borderId="4" xfId="1362" applyFont="1" applyBorder="1" applyAlignment="1">
      <alignment vertical="center" wrapText="1"/>
    </xf>
    <xf numFmtId="0" fontId="247" fillId="0" borderId="4" xfId="1362" applyFont="1" applyBorder="1" applyAlignment="1">
      <alignment vertical="center" wrapText="1"/>
    </xf>
    <xf numFmtId="0" fontId="249" fillId="0" borderId="4" xfId="1362" quotePrefix="1" applyFont="1" applyBorder="1" applyAlignment="1">
      <alignment vertical="center" wrapText="1"/>
    </xf>
    <xf numFmtId="0" fontId="250" fillId="0" borderId="4" xfId="1362" applyFont="1" applyBorder="1" applyAlignment="1">
      <alignment horizontal="center" vertical="center" wrapText="1"/>
    </xf>
    <xf numFmtId="0" fontId="250" fillId="0" borderId="4" xfId="1362" applyFont="1" applyBorder="1" applyAlignment="1">
      <alignment vertical="center" wrapText="1"/>
    </xf>
    <xf numFmtId="0" fontId="251" fillId="0" borderId="0" xfId="1362" applyFont="1"/>
    <xf numFmtId="0" fontId="246" fillId="0" borderId="48" xfId="1362" applyFont="1" applyBorder="1" applyAlignment="1">
      <alignment horizontal="center" vertical="center" wrapText="1"/>
    </xf>
    <xf numFmtId="0" fontId="246" fillId="0" borderId="48" xfId="1362" applyFont="1" applyBorder="1" applyAlignment="1">
      <alignment vertical="center" wrapText="1"/>
    </xf>
    <xf numFmtId="0" fontId="246" fillId="0" borderId="0" xfId="1362" applyFont="1" applyAlignment="1"/>
    <xf numFmtId="0" fontId="247" fillId="0" borderId="0" xfId="1362" applyFont="1" applyAlignment="1">
      <alignment vertical="center"/>
    </xf>
    <xf numFmtId="0" fontId="243" fillId="0" borderId="0" xfId="1313" applyFont="1"/>
    <xf numFmtId="0" fontId="243" fillId="0" borderId="0" xfId="1313" applyFont="1" applyAlignment="1">
      <alignment vertical="center"/>
    </xf>
    <xf numFmtId="0" fontId="252" fillId="0" borderId="4" xfId="1313" applyFont="1" applyBorder="1" applyAlignment="1">
      <alignment horizontal="center" vertical="center" wrapText="1"/>
    </xf>
    <xf numFmtId="0" fontId="252" fillId="0" borderId="4" xfId="1313" applyFont="1" applyBorder="1" applyAlignment="1">
      <alignment vertical="center" wrapText="1"/>
    </xf>
    <xf numFmtId="213" fontId="253" fillId="0" borderId="4" xfId="1027" applyNumberFormat="1" applyFont="1" applyBorder="1" applyAlignment="1">
      <alignment horizontal="center" vertical="center" wrapText="1"/>
    </xf>
    <xf numFmtId="213" fontId="252" fillId="0" borderId="4" xfId="1027" applyNumberFormat="1" applyFont="1" applyBorder="1" applyAlignment="1">
      <alignment horizontal="center" vertical="center" wrapText="1"/>
    </xf>
    <xf numFmtId="0" fontId="254" fillId="0" borderId="0" xfId="1313" applyFont="1" applyAlignment="1">
      <alignment vertical="center"/>
    </xf>
    <xf numFmtId="0" fontId="253" fillId="0" borderId="4" xfId="1313" applyFont="1" applyBorder="1" applyAlignment="1">
      <alignment horizontal="center" vertical="center" wrapText="1"/>
    </xf>
    <xf numFmtId="0" fontId="253" fillId="0" borderId="4" xfId="1313" applyFont="1" applyBorder="1" applyAlignment="1">
      <alignment vertical="center" wrapText="1"/>
    </xf>
    <xf numFmtId="0" fontId="255" fillId="0" borderId="0" xfId="1313" applyFont="1"/>
    <xf numFmtId="0" fontId="256" fillId="0" borderId="0" xfId="1313" applyFont="1" applyBorder="1" applyAlignment="1">
      <alignment horizontal="right"/>
    </xf>
    <xf numFmtId="0" fontId="252" fillId="0" borderId="49" xfId="1313" applyFont="1" applyBorder="1" applyAlignment="1">
      <alignment horizontal="center" vertical="center" wrapText="1"/>
    </xf>
    <xf numFmtId="213" fontId="253" fillId="0" borderId="49" xfId="1027" applyNumberFormat="1" applyFont="1" applyBorder="1" applyAlignment="1">
      <alignment horizontal="center" vertical="center" wrapText="1"/>
    </xf>
    <xf numFmtId="213" fontId="252" fillId="0" borderId="49" xfId="1027" applyNumberFormat="1" applyFont="1" applyBorder="1" applyAlignment="1">
      <alignment horizontal="center" vertical="center" wrapText="1"/>
    </xf>
    <xf numFmtId="0" fontId="243" fillId="0" borderId="4" xfId="1313" applyFont="1" applyBorder="1"/>
    <xf numFmtId="0" fontId="73" fillId="0" borderId="0" xfId="0" applyFont="1" applyFill="1" applyAlignment="1">
      <alignment horizontal="center" vertical="center" wrapText="1"/>
    </xf>
    <xf numFmtId="0" fontId="256" fillId="0" borderId="0" xfId="1313" applyFont="1" applyAlignment="1">
      <alignment horizontal="center"/>
    </xf>
    <xf numFmtId="213" fontId="243" fillId="0" borderId="0" xfId="1313" applyNumberFormat="1" applyFont="1"/>
    <xf numFmtId="213" fontId="256" fillId="0" borderId="0" xfId="1313" applyNumberFormat="1" applyFont="1" applyBorder="1" applyAlignment="1">
      <alignment horizontal="right"/>
    </xf>
    <xf numFmtId="0" fontId="257" fillId="0" borderId="0" xfId="1359" applyFont="1"/>
    <xf numFmtId="176" fontId="257" fillId="0" borderId="0" xfId="943" applyNumberFormat="1" applyFont="1"/>
    <xf numFmtId="176" fontId="258" fillId="0" borderId="0" xfId="943" applyNumberFormat="1" applyFont="1" applyAlignment="1">
      <alignment horizontal="right" vertical="center"/>
    </xf>
    <xf numFmtId="0" fontId="257" fillId="0" borderId="0" xfId="1359" applyFont="1" applyAlignment="1">
      <alignment vertical="center"/>
    </xf>
    <xf numFmtId="0" fontId="257" fillId="0" borderId="0" xfId="1359" applyFont="1" applyAlignment="1">
      <alignment vertical="center" wrapText="1"/>
    </xf>
    <xf numFmtId="0" fontId="259" fillId="0" borderId="0" xfId="1359" applyFont="1" applyAlignment="1">
      <alignment horizontal="center" vertical="center" wrapText="1"/>
    </xf>
    <xf numFmtId="0" fontId="260" fillId="0" borderId="0" xfId="1359" applyFont="1" applyAlignment="1">
      <alignment horizontal="center" vertical="center" wrapText="1"/>
    </xf>
    <xf numFmtId="0" fontId="257" fillId="0" borderId="27" xfId="1359" applyFont="1" applyBorder="1" applyAlignment="1">
      <alignment horizontal="center" vertical="center"/>
    </xf>
    <xf numFmtId="176" fontId="257" fillId="0" borderId="27" xfId="943" applyNumberFormat="1" applyFont="1" applyBorder="1" applyAlignment="1">
      <alignment vertical="center"/>
    </xf>
    <xf numFmtId="0" fontId="257" fillId="0" borderId="1" xfId="1359" applyFont="1" applyBorder="1" applyAlignment="1">
      <alignment horizontal="center" vertical="center"/>
    </xf>
    <xf numFmtId="0" fontId="257" fillId="0" borderId="1" xfId="1359" applyFont="1" applyBorder="1" applyAlignment="1">
      <alignment vertical="center"/>
    </xf>
    <xf numFmtId="176" fontId="257" fillId="0" borderId="1" xfId="943" applyNumberFormat="1" applyFont="1" applyBorder="1" applyAlignment="1">
      <alignment vertical="center"/>
    </xf>
    <xf numFmtId="0" fontId="257" fillId="0" borderId="1" xfId="1359" applyFont="1" applyBorder="1"/>
    <xf numFmtId="176" fontId="257" fillId="0" borderId="1" xfId="943" applyNumberFormat="1" applyFont="1" applyBorder="1"/>
    <xf numFmtId="217" fontId="261" fillId="0" borderId="0" xfId="943" applyNumberFormat="1" applyFont="1"/>
    <xf numFmtId="0" fontId="96" fillId="0" borderId="0" xfId="1326" applyFont="1"/>
    <xf numFmtId="0" fontId="79" fillId="0" borderId="0" xfId="0" applyFont="1"/>
    <xf numFmtId="0" fontId="262" fillId="0" borderId="0" xfId="0" applyFont="1" applyAlignment="1">
      <alignment horizontal="center" wrapText="1"/>
    </xf>
    <xf numFmtId="0" fontId="79" fillId="0" borderId="0" xfId="0" applyFont="1" applyAlignment="1">
      <alignment vertical="center"/>
    </xf>
    <xf numFmtId="0" fontId="262" fillId="52" borderId="70" xfId="0" applyFont="1" applyFill="1" applyBorder="1" applyAlignment="1">
      <alignment horizontal="center" wrapText="1"/>
    </xf>
    <xf numFmtId="0" fontId="262" fillId="52" borderId="70" xfId="0" applyFont="1" applyFill="1" applyBorder="1" applyAlignment="1">
      <alignment wrapText="1"/>
    </xf>
    <xf numFmtId="0" fontId="263" fillId="52" borderId="70" xfId="0" applyFont="1" applyFill="1" applyBorder="1" applyAlignment="1">
      <alignment horizontal="center" wrapText="1"/>
    </xf>
    <xf numFmtId="4" fontId="79" fillId="0" borderId="0" xfId="0" applyNumberFormat="1" applyFont="1"/>
    <xf numFmtId="0" fontId="263" fillId="52" borderId="70" xfId="0" applyFont="1" applyFill="1" applyBorder="1" applyAlignment="1">
      <alignment wrapText="1"/>
    </xf>
    <xf numFmtId="179" fontId="263" fillId="52" borderId="70" xfId="906" applyNumberFormat="1" applyFont="1" applyFill="1" applyBorder="1" applyAlignment="1">
      <alignment horizontal="center" wrapText="1"/>
    </xf>
    <xf numFmtId="179" fontId="262" fillId="52" borderId="70" xfId="906" applyNumberFormat="1" applyFont="1" applyFill="1" applyBorder="1" applyAlignment="1">
      <alignment horizontal="center" wrapText="1"/>
    </xf>
    <xf numFmtId="0" fontId="247" fillId="0" borderId="4" xfId="1362" applyFont="1" applyBorder="1" applyAlignment="1">
      <alignment horizontal="center" vertical="center" wrapText="1"/>
    </xf>
    <xf numFmtId="0" fontId="264" fillId="0" borderId="0" xfId="0" applyFont="1" applyAlignment="1">
      <alignment horizontal="center"/>
    </xf>
    <xf numFmtId="0" fontId="258" fillId="0" borderId="0" xfId="1359" applyFont="1" applyAlignment="1">
      <alignment horizontal="center" vertical="center" wrapText="1"/>
    </xf>
    <xf numFmtId="0" fontId="257" fillId="0" borderId="0" xfId="1359" applyFont="1" applyAlignment="1">
      <alignment horizontal="center" vertical="center" wrapText="1"/>
    </xf>
    <xf numFmtId="176" fontId="257" fillId="0" borderId="0" xfId="943" applyNumberFormat="1" applyFont="1" applyAlignment="1">
      <alignment horizontal="center" vertical="center" wrapText="1"/>
    </xf>
    <xf numFmtId="176" fontId="257" fillId="0" borderId="0" xfId="943" applyNumberFormat="1" applyFont="1" applyAlignment="1">
      <alignment vertical="center" wrapText="1"/>
    </xf>
    <xf numFmtId="176" fontId="265" fillId="0" borderId="0" xfId="943" applyNumberFormat="1" applyFont="1" applyAlignment="1">
      <alignment horizontal="center" vertical="center" wrapText="1"/>
    </xf>
    <xf numFmtId="0" fontId="218" fillId="0" borderId="0" xfId="1329" applyFont="1" applyBorder="1" applyAlignment="1"/>
    <xf numFmtId="0" fontId="66" fillId="0" borderId="0" xfId="0" applyFont="1"/>
    <xf numFmtId="0" fontId="257" fillId="0" borderId="0" xfId="1359" applyFont="1" applyFill="1" applyAlignment="1">
      <alignment vertical="center"/>
    </xf>
    <xf numFmtId="0" fontId="263" fillId="52" borderId="70" xfId="0" applyFont="1" applyFill="1" applyBorder="1" applyAlignment="1">
      <alignment horizontal="center" vertical="center" wrapText="1"/>
    </xf>
    <xf numFmtId="0" fontId="263" fillId="52" borderId="70" xfId="0" applyFont="1" applyFill="1" applyBorder="1" applyAlignment="1">
      <alignment vertical="center" wrapText="1"/>
    </xf>
    <xf numFmtId="179" fontId="263" fillId="52" borderId="70" xfId="906" applyNumberFormat="1" applyFont="1" applyFill="1" applyBorder="1" applyAlignment="1">
      <alignment horizontal="center" vertical="center" wrapText="1"/>
    </xf>
    <xf numFmtId="0" fontId="246" fillId="0" borderId="0" xfId="1362" applyFont="1" applyAlignment="1">
      <alignment horizontal="center"/>
    </xf>
    <xf numFmtId="0" fontId="247" fillId="0" borderId="0" xfId="1362" applyFont="1" applyAlignment="1">
      <alignment horizontal="center" vertical="center"/>
    </xf>
    <xf numFmtId="0" fontId="246" fillId="53" borderId="1" xfId="1362" applyFont="1" applyFill="1" applyBorder="1" applyAlignment="1">
      <alignment horizontal="center" vertical="center" wrapText="1"/>
    </xf>
    <xf numFmtId="0" fontId="247" fillId="0" borderId="0" xfId="1362" applyFont="1" applyAlignment="1">
      <alignment horizontal="center"/>
    </xf>
    <xf numFmtId="217" fontId="233" fillId="0" borderId="0" xfId="1023" applyNumberFormat="1" applyFont="1"/>
    <xf numFmtId="217" fontId="246" fillId="0" borderId="0" xfId="1023" applyNumberFormat="1" applyFont="1"/>
    <xf numFmtId="217" fontId="246" fillId="53" borderId="1" xfId="1023" applyNumberFormat="1" applyFont="1" applyFill="1" applyBorder="1" applyAlignment="1">
      <alignment horizontal="center" vertical="center" wrapText="1"/>
    </xf>
    <xf numFmtId="217" fontId="246" fillId="51" borderId="1" xfId="1023" applyNumberFormat="1" applyFont="1" applyFill="1" applyBorder="1" applyAlignment="1">
      <alignment horizontal="center" vertical="center" wrapText="1"/>
    </xf>
    <xf numFmtId="0" fontId="248" fillId="0" borderId="0" xfId="1362" applyFont="1" applyAlignment="1">
      <alignment vertical="center"/>
    </xf>
    <xf numFmtId="217" fontId="246" fillId="0" borderId="22" xfId="1023" applyNumberFormat="1" applyFont="1" applyBorder="1" applyAlignment="1">
      <alignment horizontal="center" vertical="center" wrapText="1"/>
    </xf>
    <xf numFmtId="217" fontId="246" fillId="0" borderId="4" xfId="1023" applyNumberFormat="1" applyFont="1" applyBorder="1" applyAlignment="1">
      <alignment horizontal="center" vertical="center" wrapText="1"/>
    </xf>
    <xf numFmtId="217" fontId="249" fillId="0" borderId="4" xfId="1023" applyNumberFormat="1" applyFont="1" applyBorder="1" applyAlignment="1">
      <alignment horizontal="center" vertical="center" wrapText="1"/>
    </xf>
    <xf numFmtId="304" fontId="233" fillId="0" borderId="0" xfId="1362" applyNumberFormat="1"/>
    <xf numFmtId="217" fontId="250" fillId="0" borderId="4" xfId="1023" applyNumberFormat="1" applyFont="1" applyBorder="1" applyAlignment="1">
      <alignment horizontal="center" vertical="center" wrapText="1"/>
    </xf>
    <xf numFmtId="217" fontId="246" fillId="0" borderId="48" xfId="1023" applyNumberFormat="1" applyFont="1" applyBorder="1" applyAlignment="1">
      <alignment horizontal="center" vertical="center" wrapText="1"/>
    </xf>
    <xf numFmtId="217" fontId="247" fillId="0" borderId="0" xfId="1023" applyNumberFormat="1" applyFont="1"/>
    <xf numFmtId="176" fontId="218" fillId="0" borderId="0" xfId="943" applyNumberFormat="1" applyFont="1" applyBorder="1" applyAlignment="1">
      <alignment horizontal="right"/>
    </xf>
    <xf numFmtId="0" fontId="266" fillId="0" borderId="0" xfId="0" applyFont="1"/>
    <xf numFmtId="0" fontId="267" fillId="0" borderId="0" xfId="0" applyFont="1"/>
    <xf numFmtId="0" fontId="267" fillId="0" borderId="0" xfId="0" applyFont="1" applyAlignment="1">
      <alignment vertical="center"/>
    </xf>
    <xf numFmtId="179" fontId="268" fillId="0" borderId="0" xfId="0" applyNumberFormat="1" applyFont="1" applyAlignment="1">
      <alignment horizontal="center"/>
    </xf>
    <xf numFmtId="0" fontId="268" fillId="0" borderId="0" xfId="0" applyFont="1" applyAlignment="1">
      <alignment horizontal="center"/>
    </xf>
    <xf numFmtId="179" fontId="269" fillId="0" borderId="0" xfId="0" applyNumberFormat="1" applyFont="1"/>
    <xf numFmtId="0" fontId="269" fillId="0" borderId="0" xfId="0" applyFont="1"/>
    <xf numFmtId="179" fontId="269" fillId="0" borderId="0" xfId="906" applyNumberFormat="1" applyFont="1"/>
    <xf numFmtId="170" fontId="269" fillId="0" borderId="0" xfId="906" applyFont="1"/>
    <xf numFmtId="213" fontId="269" fillId="0" borderId="0" xfId="906" applyNumberFormat="1" applyFont="1" applyAlignment="1">
      <alignment horizontal="center" vertical="center"/>
    </xf>
    <xf numFmtId="213" fontId="269" fillId="0" borderId="0" xfId="0" applyNumberFormat="1" applyFont="1"/>
    <xf numFmtId="0" fontId="270" fillId="0" borderId="1" xfId="0" applyFont="1" applyBorder="1" applyAlignment="1">
      <alignment horizontal="center" vertical="center"/>
    </xf>
    <xf numFmtId="179" fontId="244" fillId="0" borderId="1" xfId="0" applyNumberFormat="1" applyFont="1" applyBorder="1" applyAlignment="1">
      <alignment vertical="center"/>
    </xf>
    <xf numFmtId="0" fontId="244" fillId="0" borderId="1" xfId="0" applyFont="1" applyBorder="1" applyAlignment="1">
      <alignment vertical="center"/>
    </xf>
    <xf numFmtId="179" fontId="244" fillId="0" borderId="1" xfId="906" applyNumberFormat="1" applyFont="1" applyBorder="1" applyAlignment="1">
      <alignment vertical="center"/>
    </xf>
    <xf numFmtId="213" fontId="244" fillId="0" borderId="1" xfId="906" applyNumberFormat="1" applyFont="1" applyBorder="1" applyAlignment="1">
      <alignment horizontal="center" vertical="center"/>
    </xf>
    <xf numFmtId="0" fontId="244" fillId="0" borderId="1" xfId="0" applyFont="1" applyBorder="1" applyAlignment="1">
      <alignment horizontal="center" vertical="center"/>
    </xf>
    <xf numFmtId="179" fontId="240" fillId="0" borderId="1" xfId="906" applyNumberFormat="1" applyFont="1" applyBorder="1" applyAlignment="1">
      <alignment horizontal="center" vertical="center" wrapText="1"/>
    </xf>
    <xf numFmtId="179" fontId="70" fillId="0" borderId="26" xfId="906" applyNumberFormat="1" applyFont="1" applyFill="1" applyBorder="1" applyAlignment="1">
      <alignment horizontal="center" vertical="center" wrapText="1"/>
    </xf>
    <xf numFmtId="210" fontId="2" fillId="0" borderId="1" xfId="0" applyNumberFormat="1" applyFont="1" applyFill="1" applyBorder="1" applyAlignment="1" applyProtection="1">
      <alignment horizontal="center" vertical="center" wrapText="1"/>
    </xf>
    <xf numFmtId="210" fontId="2" fillId="0" borderId="1" xfId="0" applyNumberFormat="1" applyFont="1" applyFill="1" applyBorder="1" applyAlignment="1">
      <alignment horizontal="center" vertical="center" wrapText="1"/>
    </xf>
    <xf numFmtId="179" fontId="2" fillId="0" borderId="1" xfId="906"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0" fillId="0" borderId="31" xfId="0" applyFont="1" applyFill="1" applyBorder="1"/>
    <xf numFmtId="0" fontId="70" fillId="0" borderId="31" xfId="0" applyFont="1" applyFill="1" applyBorder="1" applyAlignment="1">
      <alignment horizontal="center" vertical="center" wrapText="1"/>
    </xf>
    <xf numFmtId="179" fontId="70" fillId="0" borderId="31" xfId="906" applyNumberFormat="1" applyFont="1" applyFill="1" applyBorder="1" applyAlignment="1">
      <alignment horizontal="right" vertical="center" wrapText="1"/>
    </xf>
    <xf numFmtId="2" fontId="70" fillId="0" borderId="31" xfId="0" applyNumberFormat="1" applyFont="1" applyFill="1" applyBorder="1" applyAlignment="1">
      <alignment horizontal="right" vertical="center" wrapText="1"/>
    </xf>
    <xf numFmtId="3" fontId="51" fillId="0" borderId="4" xfId="1378" applyNumberFormat="1" applyFont="1" applyFill="1" applyBorder="1" applyAlignment="1">
      <alignment horizontal="center"/>
    </xf>
    <xf numFmtId="209" fontId="9" fillId="0" borderId="4" xfId="1378" applyNumberFormat="1" applyFont="1" applyFill="1" applyBorder="1" applyAlignment="1">
      <alignment vertical="center"/>
    </xf>
    <xf numFmtId="179" fontId="9" fillId="0" borderId="4" xfId="906" applyNumberFormat="1" applyFont="1" applyFill="1" applyBorder="1" applyAlignment="1">
      <alignment horizontal="right" vertical="center" wrapText="1"/>
    </xf>
    <xf numFmtId="2" fontId="9" fillId="0" borderId="4" xfId="0" applyNumberFormat="1" applyFont="1" applyFill="1" applyBorder="1" applyAlignment="1">
      <alignment horizontal="right" vertical="center" wrapText="1"/>
    </xf>
    <xf numFmtId="0" fontId="246" fillId="0" borderId="4" xfId="1023" applyNumberFormat="1" applyFont="1" applyBorder="1" applyAlignment="1">
      <alignment horizontal="center" vertical="center" wrapText="1"/>
    </xf>
    <xf numFmtId="0" fontId="79" fillId="0" borderId="0" xfId="0" applyFont="1" applyFill="1"/>
    <xf numFmtId="4" fontId="262" fillId="52" borderId="71" xfId="0" applyNumberFormat="1" applyFont="1" applyFill="1" applyBorder="1" applyAlignment="1">
      <alignment horizontal="center" vertical="center" wrapText="1"/>
    </xf>
    <xf numFmtId="0" fontId="262" fillId="52" borderId="72" xfId="0" applyFont="1" applyFill="1" applyBorder="1" applyAlignment="1">
      <alignment horizontal="center" wrapText="1"/>
    </xf>
    <xf numFmtId="4" fontId="262" fillId="52" borderId="72" xfId="0" applyNumberFormat="1" applyFont="1" applyFill="1" applyBorder="1" applyAlignment="1">
      <alignment horizontal="center" wrapText="1"/>
    </xf>
    <xf numFmtId="179" fontId="9" fillId="0" borderId="70" xfId="906" applyNumberFormat="1" applyFont="1" applyBorder="1" applyAlignment="1">
      <alignment horizontal="center" vertical="center" wrapText="1"/>
    </xf>
    <xf numFmtId="0" fontId="263" fillId="0" borderId="70" xfId="0" applyFont="1" applyFill="1" applyBorder="1" applyAlignment="1">
      <alignment horizontal="center" wrapText="1"/>
    </xf>
    <xf numFmtId="0" fontId="263" fillId="0" borderId="70" xfId="0" applyFont="1" applyFill="1" applyBorder="1" applyAlignment="1">
      <alignment wrapText="1"/>
    </xf>
    <xf numFmtId="179" fontId="263" fillId="0" borderId="70" xfId="906" applyNumberFormat="1" applyFont="1" applyFill="1" applyBorder="1" applyAlignment="1">
      <alignment horizontal="center" wrapText="1"/>
    </xf>
    <xf numFmtId="0" fontId="263" fillId="52" borderId="73" xfId="0" applyFont="1" applyFill="1" applyBorder="1" applyAlignment="1">
      <alignment horizontal="center" wrapText="1"/>
    </xf>
    <xf numFmtId="0" fontId="263" fillId="52" borderId="73" xfId="0" applyFont="1" applyFill="1" applyBorder="1" applyAlignment="1">
      <alignment wrapText="1"/>
    </xf>
    <xf numFmtId="179" fontId="263" fillId="52" borderId="73" xfId="906" applyNumberFormat="1" applyFont="1" applyFill="1" applyBorder="1" applyAlignment="1">
      <alignment horizontal="center" wrapText="1"/>
    </xf>
    <xf numFmtId="179" fontId="79" fillId="52" borderId="73" xfId="906" applyNumberFormat="1" applyFont="1" applyFill="1" applyBorder="1"/>
    <xf numFmtId="0" fontId="252" fillId="0" borderId="4" xfId="1313" applyFont="1" applyBorder="1" applyAlignment="1">
      <alignment horizontal="center" vertical="center" wrapText="1"/>
    </xf>
    <xf numFmtId="0" fontId="253" fillId="0" borderId="0" xfId="1313" applyFont="1" applyAlignment="1">
      <alignment horizontal="right"/>
    </xf>
    <xf numFmtId="0" fontId="256" fillId="0" borderId="0" xfId="1313" applyFont="1" applyBorder="1" applyAlignment="1">
      <alignment horizontal="right"/>
    </xf>
    <xf numFmtId="0" fontId="252" fillId="0" borderId="49" xfId="1313" applyFont="1" applyBorder="1" applyAlignment="1">
      <alignment horizontal="center" vertical="center" wrapText="1"/>
    </xf>
    <xf numFmtId="0" fontId="252" fillId="0" borderId="50" xfId="1313" applyFont="1" applyBorder="1" applyAlignment="1">
      <alignment horizontal="center" vertical="center" wrapText="1"/>
    </xf>
    <xf numFmtId="0" fontId="256" fillId="0" borderId="0" xfId="1313" applyFont="1" applyAlignment="1">
      <alignment horizontal="center"/>
    </xf>
    <xf numFmtId="179" fontId="244" fillId="0" borderId="1" xfId="906" applyNumberFormat="1" applyFont="1" applyBorder="1" applyAlignment="1">
      <alignment horizontal="center" vertical="center" wrapText="1"/>
    </xf>
    <xf numFmtId="179" fontId="241" fillId="0" borderId="0" xfId="0" applyNumberFormat="1" applyFont="1" applyAlignment="1">
      <alignment vertical="center"/>
    </xf>
    <xf numFmtId="0" fontId="222" fillId="50" borderId="0" xfId="1369" applyFont="1" applyFill="1" applyAlignment="1">
      <alignment vertical="center"/>
    </xf>
    <xf numFmtId="217" fontId="70" fillId="50" borderId="0" xfId="974" applyNumberFormat="1" applyFont="1" applyFill="1" applyAlignment="1">
      <alignment vertical="center"/>
    </xf>
    <xf numFmtId="217" fontId="222" fillId="50" borderId="0" xfId="974" applyNumberFormat="1" applyFont="1" applyFill="1" applyAlignment="1">
      <alignment vertical="center"/>
    </xf>
    <xf numFmtId="0" fontId="223" fillId="50" borderId="0" xfId="1309" applyFont="1" applyFill="1" applyAlignment="1">
      <alignment vertical="center"/>
    </xf>
    <xf numFmtId="0" fontId="223" fillId="50" borderId="0" xfId="1369" applyFont="1" applyFill="1" applyAlignment="1">
      <alignment horizontal="center" vertical="center"/>
    </xf>
    <xf numFmtId="0" fontId="223" fillId="50" borderId="0" xfId="1369" applyFont="1" applyFill="1" applyAlignment="1">
      <alignment vertical="center"/>
    </xf>
    <xf numFmtId="217" fontId="9" fillId="50" borderId="0" xfId="974" applyNumberFormat="1" applyFont="1" applyFill="1" applyAlignment="1">
      <alignment vertical="center"/>
    </xf>
    <xf numFmtId="217" fontId="223" fillId="50" borderId="0" xfId="974" applyNumberFormat="1" applyFont="1" applyFill="1" applyAlignment="1">
      <alignment vertical="center"/>
    </xf>
    <xf numFmtId="0" fontId="223" fillId="50" borderId="31" xfId="1315" applyFont="1" applyFill="1" applyBorder="1" applyAlignment="1">
      <alignment horizontal="center" vertical="center" wrapText="1"/>
    </xf>
    <xf numFmtId="217" fontId="9" fillId="50" borderId="31" xfId="974" applyNumberFormat="1" applyFont="1" applyFill="1" applyBorder="1" applyAlignment="1">
      <alignment horizontal="center" vertical="center" wrapText="1"/>
    </xf>
    <xf numFmtId="217" fontId="223" fillId="50" borderId="31" xfId="974" applyNumberFormat="1" applyFont="1" applyFill="1" applyBorder="1" applyAlignment="1">
      <alignment horizontal="center" vertical="center" wrapText="1"/>
    </xf>
    <xf numFmtId="0" fontId="271" fillId="50" borderId="4" xfId="1309" applyFont="1" applyFill="1" applyBorder="1" applyAlignment="1">
      <alignment horizontal="center" vertical="center"/>
    </xf>
    <xf numFmtId="0" fontId="272" fillId="50" borderId="4" xfId="1315" applyFont="1" applyFill="1" applyBorder="1" applyAlignment="1">
      <alignment horizontal="center" vertical="center" wrapText="1"/>
    </xf>
    <xf numFmtId="217" fontId="273" fillId="50" borderId="4" xfId="974" applyNumberFormat="1" applyFont="1" applyFill="1" applyBorder="1" applyAlignment="1">
      <alignment vertical="center"/>
    </xf>
    <xf numFmtId="0" fontId="271" fillId="50" borderId="0" xfId="1309" applyFont="1" applyFill="1" applyAlignment="1">
      <alignment vertical="center"/>
    </xf>
    <xf numFmtId="0" fontId="274" fillId="50" borderId="4" xfId="1309" applyFont="1" applyFill="1" applyBorder="1" applyAlignment="1">
      <alignment horizontal="center" vertical="center"/>
    </xf>
    <xf numFmtId="0" fontId="272" fillId="50" borderId="4" xfId="1315" applyFont="1" applyFill="1" applyBorder="1" applyAlignment="1">
      <alignment vertical="center" wrapText="1"/>
    </xf>
    <xf numFmtId="217" fontId="273" fillId="54" borderId="4" xfId="974" applyNumberFormat="1" applyFont="1" applyFill="1" applyBorder="1" applyAlignment="1">
      <alignment vertical="center"/>
    </xf>
    <xf numFmtId="0" fontId="274" fillId="50" borderId="0" xfId="1309" applyFont="1" applyFill="1" applyAlignment="1">
      <alignment vertical="center"/>
    </xf>
    <xf numFmtId="0" fontId="70" fillId="50" borderId="4" xfId="1315" applyFont="1" applyFill="1" applyBorder="1" applyAlignment="1">
      <alignment horizontal="center" vertical="center"/>
    </xf>
    <xf numFmtId="0" fontId="70" fillId="50" borderId="4" xfId="1315" applyFont="1" applyFill="1" applyBorder="1" applyAlignment="1">
      <alignment vertical="center" wrapText="1"/>
    </xf>
    <xf numFmtId="217" fontId="70" fillId="50" borderId="4" xfId="974" applyNumberFormat="1" applyFont="1" applyFill="1" applyBorder="1" applyAlignment="1">
      <alignment vertical="center"/>
    </xf>
    <xf numFmtId="0" fontId="74" fillId="50" borderId="0" xfId="1309" applyFont="1" applyFill="1" applyAlignment="1">
      <alignment vertical="center"/>
    </xf>
    <xf numFmtId="0" fontId="9" fillId="50" borderId="4" xfId="1315" applyFont="1" applyFill="1" applyBorder="1" applyAlignment="1">
      <alignment horizontal="center" vertical="center"/>
    </xf>
    <xf numFmtId="0" fontId="9" fillId="50" borderId="4" xfId="1315" applyFont="1" applyFill="1" applyBorder="1" applyAlignment="1">
      <alignment vertical="center" wrapText="1"/>
    </xf>
    <xf numFmtId="0" fontId="275" fillId="50" borderId="4" xfId="1315" quotePrefix="1" applyFont="1" applyFill="1" applyBorder="1" applyAlignment="1">
      <alignment vertical="center" wrapText="1"/>
    </xf>
    <xf numFmtId="217" fontId="9" fillId="50" borderId="4" xfId="974" applyNumberFormat="1" applyFont="1" applyFill="1" applyBorder="1" applyAlignment="1">
      <alignment vertical="center"/>
    </xf>
    <xf numFmtId="0" fontId="79" fillId="50" borderId="0" xfId="1309" applyFont="1" applyFill="1" applyAlignment="1">
      <alignment vertical="center"/>
    </xf>
    <xf numFmtId="0" fontId="9" fillId="50" borderId="4" xfId="1315" quotePrefix="1" applyFont="1" applyFill="1" applyBorder="1" applyAlignment="1">
      <alignment vertical="center" wrapText="1"/>
    </xf>
    <xf numFmtId="0" fontId="9" fillId="54" borderId="4" xfId="1315" applyFont="1" applyFill="1" applyBorder="1" applyAlignment="1">
      <alignment horizontal="center" vertical="center"/>
    </xf>
    <xf numFmtId="0" fontId="9" fillId="54" borderId="4" xfId="1315" applyFont="1" applyFill="1" applyBorder="1" applyAlignment="1">
      <alignment vertical="center" wrapText="1"/>
    </xf>
    <xf numFmtId="0" fontId="9" fillId="54" borderId="4" xfId="1315" quotePrefix="1" applyFont="1" applyFill="1" applyBorder="1" applyAlignment="1">
      <alignment vertical="center" wrapText="1"/>
    </xf>
    <xf numFmtId="217" fontId="9" fillId="54" borderId="4" xfId="974" applyNumberFormat="1" applyFont="1" applyFill="1" applyBorder="1" applyAlignment="1">
      <alignment vertical="center"/>
    </xf>
    <xf numFmtId="0" fontId="79" fillId="54" borderId="0" xfId="1309" applyFont="1" applyFill="1" applyAlignment="1">
      <alignment vertical="center"/>
    </xf>
    <xf numFmtId="0" fontId="275" fillId="54" borderId="4" xfId="1315" quotePrefix="1" applyFont="1" applyFill="1" applyBorder="1" applyAlignment="1">
      <alignment vertical="center" wrapText="1"/>
    </xf>
    <xf numFmtId="217" fontId="274" fillId="50" borderId="0" xfId="1309" applyNumberFormat="1" applyFont="1" applyFill="1" applyAlignment="1">
      <alignment vertical="center"/>
    </xf>
    <xf numFmtId="0" fontId="222" fillId="50" borderId="4" xfId="1315" applyFont="1" applyFill="1" applyBorder="1" applyAlignment="1">
      <alignment horizontal="center" vertical="center"/>
    </xf>
    <xf numFmtId="0" fontId="222" fillId="50" borderId="4" xfId="1315" applyFont="1" applyFill="1" applyBorder="1" applyAlignment="1">
      <alignment vertical="center" wrapText="1"/>
    </xf>
    <xf numFmtId="0" fontId="225" fillId="50" borderId="0" xfId="1309" applyFont="1" applyFill="1" applyAlignment="1">
      <alignment vertical="center"/>
    </xf>
    <xf numFmtId="0" fontId="78" fillId="50" borderId="4" xfId="1315" quotePrefix="1" applyFont="1" applyFill="1" applyBorder="1" applyAlignment="1">
      <alignment horizontal="center" vertical="center"/>
    </xf>
    <xf numFmtId="0" fontId="78" fillId="50" borderId="4" xfId="1315" applyFont="1" applyFill="1" applyBorder="1" applyAlignment="1">
      <alignment vertical="center" wrapText="1"/>
    </xf>
    <xf numFmtId="217" fontId="78" fillId="50" borderId="4" xfId="974" applyNumberFormat="1" applyFont="1" applyFill="1" applyBorder="1" applyAlignment="1">
      <alignment vertical="center"/>
    </xf>
    <xf numFmtId="0" fontId="226" fillId="50" borderId="0" xfId="1309" applyFont="1" applyFill="1" applyAlignment="1">
      <alignment vertical="center"/>
    </xf>
    <xf numFmtId="0" fontId="223" fillId="50" borderId="4" xfId="1315" quotePrefix="1" applyFont="1" applyFill="1" applyBorder="1" applyAlignment="1">
      <alignment horizontal="center" vertical="center"/>
    </xf>
    <xf numFmtId="0" fontId="276" fillId="50" borderId="4" xfId="1315" quotePrefix="1" applyFont="1" applyFill="1" applyBorder="1" applyAlignment="1">
      <alignment vertical="center" wrapText="1"/>
    </xf>
    <xf numFmtId="0" fontId="227" fillId="50" borderId="0" xfId="1309" applyFont="1" applyFill="1" applyAlignment="1">
      <alignment vertical="center"/>
    </xf>
    <xf numFmtId="0" fontId="223" fillId="54" borderId="4" xfId="1315" quotePrefix="1" applyFont="1" applyFill="1" applyBorder="1" applyAlignment="1">
      <alignment horizontal="center" vertical="center"/>
    </xf>
    <xf numFmtId="0" fontId="276" fillId="54" borderId="4" xfId="1315" quotePrefix="1" applyFont="1" applyFill="1" applyBorder="1" applyAlignment="1">
      <alignment vertical="center" wrapText="1"/>
    </xf>
    <xf numFmtId="0" fontId="227" fillId="54" borderId="0" xfId="1309" applyFont="1" applyFill="1" applyAlignment="1">
      <alignment vertical="center"/>
    </xf>
    <xf numFmtId="0" fontId="223" fillId="50" borderId="4" xfId="1315" quotePrefix="1" applyFont="1" applyFill="1" applyBorder="1" applyAlignment="1">
      <alignment vertical="center" wrapText="1"/>
    </xf>
    <xf numFmtId="0" fontId="223" fillId="50" borderId="4" xfId="1315" applyFont="1" applyFill="1" applyBorder="1" applyAlignment="1">
      <alignment vertical="center" wrapText="1"/>
    </xf>
    <xf numFmtId="0" fontId="223" fillId="50" borderId="4" xfId="1315" applyFont="1" applyFill="1" applyBorder="1" applyAlignment="1">
      <alignment horizontal="center" vertical="center"/>
    </xf>
    <xf numFmtId="0" fontId="223" fillId="54" borderId="4" xfId="1315" applyFont="1" applyFill="1" applyBorder="1" applyAlignment="1">
      <alignment horizontal="center" vertical="center"/>
    </xf>
    <xf numFmtId="0" fontId="78" fillId="50" borderId="4" xfId="1315" applyFont="1" applyFill="1" applyBorder="1" applyAlignment="1">
      <alignment horizontal="center" vertical="center"/>
    </xf>
    <xf numFmtId="0" fontId="273" fillId="50" borderId="4" xfId="1315" quotePrefix="1" applyFont="1" applyFill="1" applyBorder="1" applyAlignment="1">
      <alignment vertical="center" wrapText="1"/>
    </xf>
    <xf numFmtId="0" fontId="273" fillId="50" borderId="4" xfId="1315" applyFont="1" applyFill="1" applyBorder="1" applyAlignment="1">
      <alignment horizontal="center" vertical="center"/>
    </xf>
    <xf numFmtId="0" fontId="273" fillId="50" borderId="4" xfId="1315" applyFont="1" applyFill="1" applyBorder="1" applyAlignment="1">
      <alignment vertical="center" wrapText="1"/>
    </xf>
    <xf numFmtId="0" fontId="277" fillId="50" borderId="0" xfId="1309" applyFont="1" applyFill="1" applyAlignment="1">
      <alignment vertical="center"/>
    </xf>
    <xf numFmtId="0" fontId="74" fillId="54" borderId="0" xfId="1309" applyFont="1" applyFill="1" applyAlignment="1">
      <alignment vertical="center"/>
    </xf>
    <xf numFmtId="0" fontId="272" fillId="50" borderId="4" xfId="1309" applyFont="1" applyFill="1" applyBorder="1" applyAlignment="1">
      <alignment horizontal="center" vertical="center"/>
    </xf>
    <xf numFmtId="217" fontId="272" fillId="50" borderId="0" xfId="1309" applyNumberFormat="1" applyFont="1" applyFill="1" applyAlignment="1">
      <alignment vertical="center"/>
    </xf>
    <xf numFmtId="0" fontId="272" fillId="50" borderId="0" xfId="1309" applyFont="1" applyFill="1" applyAlignment="1">
      <alignment vertical="center"/>
    </xf>
    <xf numFmtId="0" fontId="222" fillId="50" borderId="4" xfId="1309" applyFont="1" applyFill="1" applyBorder="1" applyAlignment="1">
      <alignment horizontal="center" vertical="center"/>
    </xf>
    <xf numFmtId="0" fontId="222" fillId="50" borderId="4" xfId="1309" applyFont="1" applyFill="1" applyBorder="1" applyAlignment="1">
      <alignment horizontal="justify" vertical="center" wrapText="1"/>
    </xf>
    <xf numFmtId="0" fontId="222" fillId="50" borderId="0" xfId="1309" applyFont="1" applyFill="1" applyAlignment="1">
      <alignment vertical="center"/>
    </xf>
    <xf numFmtId="0" fontId="222" fillId="54" borderId="4" xfId="1309" applyFont="1" applyFill="1" applyBorder="1" applyAlignment="1">
      <alignment horizontal="center" vertical="center"/>
    </xf>
    <xf numFmtId="0" fontId="222" fillId="54" borderId="0" xfId="1309" applyFont="1" applyFill="1" applyAlignment="1">
      <alignment vertical="center"/>
    </xf>
    <xf numFmtId="0" fontId="273" fillId="50" borderId="4" xfId="1309" applyFont="1" applyFill="1" applyBorder="1" applyAlignment="1">
      <alignment horizontal="center" vertical="center"/>
    </xf>
    <xf numFmtId="0" fontId="273" fillId="50" borderId="4" xfId="1309" applyFont="1" applyFill="1" applyBorder="1" applyAlignment="1">
      <alignment horizontal="justify" vertical="center" wrapText="1"/>
    </xf>
    <xf numFmtId="0" fontId="273" fillId="50" borderId="0" xfId="1309" applyFont="1" applyFill="1" applyAlignment="1">
      <alignment vertical="center"/>
    </xf>
    <xf numFmtId="0" fontId="278" fillId="54" borderId="4" xfId="1309" applyFont="1" applyFill="1" applyBorder="1" applyAlignment="1">
      <alignment horizontal="center" vertical="center"/>
    </xf>
    <xf numFmtId="217" fontId="275" fillId="54" borderId="4" xfId="974" applyNumberFormat="1" applyFont="1" applyFill="1" applyBorder="1" applyAlignment="1">
      <alignment vertical="center"/>
    </xf>
    <xf numFmtId="0" fontId="278" fillId="54" borderId="0" xfId="1309" applyFont="1" applyFill="1" applyAlignment="1">
      <alignment vertical="center"/>
    </xf>
    <xf numFmtId="0" fontId="278" fillId="50" borderId="4" xfId="1309" applyFont="1" applyFill="1" applyBorder="1" applyAlignment="1">
      <alignment horizontal="center" vertical="center"/>
    </xf>
    <xf numFmtId="217" fontId="275" fillId="50" borderId="4" xfId="974" applyNumberFormat="1" applyFont="1" applyFill="1" applyBorder="1" applyAlignment="1">
      <alignment vertical="center"/>
    </xf>
    <xf numFmtId="0" fontId="278" fillId="50" borderId="0" xfId="1309" applyFont="1" applyFill="1" applyAlignment="1">
      <alignment vertical="center"/>
    </xf>
    <xf numFmtId="0" fontId="70" fillId="50" borderId="4" xfId="1309" applyFont="1" applyFill="1" applyBorder="1" applyAlignment="1">
      <alignment horizontal="center" vertical="center"/>
    </xf>
    <xf numFmtId="0" fontId="70" fillId="50" borderId="4" xfId="1309" applyFont="1" applyFill="1" applyBorder="1" applyAlignment="1">
      <alignment horizontal="justify" vertical="center" wrapText="1"/>
    </xf>
    <xf numFmtId="0" fontId="70" fillId="50" borderId="0" xfId="1309" applyFont="1" applyFill="1" applyAlignment="1">
      <alignment vertical="center"/>
    </xf>
    <xf numFmtId="0" fontId="223" fillId="50" borderId="4" xfId="1309" applyFont="1" applyFill="1" applyBorder="1" applyAlignment="1">
      <alignment horizontal="center" vertical="center"/>
    </xf>
    <xf numFmtId="0" fontId="223" fillId="54" borderId="4" xfId="1309" applyFont="1" applyFill="1" applyBorder="1" applyAlignment="1">
      <alignment horizontal="center" vertical="center"/>
    </xf>
    <xf numFmtId="0" fontId="223" fillId="54" borderId="0" xfId="1309" applyFont="1" applyFill="1" applyAlignment="1">
      <alignment vertical="center"/>
    </xf>
    <xf numFmtId="217" fontId="70" fillId="50" borderId="4" xfId="974" applyNumberFormat="1" applyFont="1" applyFill="1" applyBorder="1" applyAlignment="1">
      <alignment horizontal="right" vertical="center"/>
    </xf>
    <xf numFmtId="0" fontId="9" fillId="50" borderId="4" xfId="1309" applyFont="1" applyFill="1" applyBorder="1" applyAlignment="1">
      <alignment horizontal="center" vertical="center"/>
    </xf>
    <xf numFmtId="0" fontId="9" fillId="50" borderId="4" xfId="1309" quotePrefix="1" applyFont="1" applyFill="1" applyBorder="1" applyAlignment="1">
      <alignment horizontal="justify" vertical="center" wrapText="1"/>
    </xf>
    <xf numFmtId="217" fontId="9" fillId="50" borderId="4" xfId="974" applyNumberFormat="1" applyFont="1" applyFill="1" applyBorder="1" applyAlignment="1">
      <alignment horizontal="right" vertical="center"/>
    </xf>
    <xf numFmtId="0" fontId="9" fillId="50" borderId="0" xfId="1309" applyFont="1" applyFill="1" applyAlignment="1">
      <alignment vertical="center"/>
    </xf>
    <xf numFmtId="0" fontId="9" fillId="54" borderId="4" xfId="1309" applyFont="1" applyFill="1" applyBorder="1" applyAlignment="1">
      <alignment horizontal="center" vertical="center"/>
    </xf>
    <xf numFmtId="0" fontId="275" fillId="54" borderId="4" xfId="1309" quotePrefix="1" applyFont="1" applyFill="1" applyBorder="1" applyAlignment="1">
      <alignment horizontal="justify" vertical="center" wrapText="1"/>
    </xf>
    <xf numFmtId="217" fontId="9" fillId="54" borderId="4" xfId="974" applyNumberFormat="1" applyFont="1" applyFill="1" applyBorder="1" applyAlignment="1">
      <alignment horizontal="right" vertical="center"/>
    </xf>
    <xf numFmtId="0" fontId="9" fillId="54" borderId="0" xfId="1309" applyFont="1" applyFill="1" applyAlignment="1">
      <alignment vertical="center"/>
    </xf>
    <xf numFmtId="0" fontId="224" fillId="50" borderId="4" xfId="1309" applyFont="1" applyFill="1" applyBorder="1" applyAlignment="1">
      <alignment horizontal="center" vertical="center"/>
    </xf>
    <xf numFmtId="0" fontId="224" fillId="50" borderId="4" xfId="1309" applyFont="1" applyFill="1" applyBorder="1" applyAlignment="1">
      <alignment horizontal="justify" vertical="center" wrapText="1"/>
    </xf>
    <xf numFmtId="0" fontId="224" fillId="50" borderId="0" xfId="1309" applyFont="1" applyFill="1" applyAlignment="1">
      <alignment vertical="center"/>
    </xf>
    <xf numFmtId="0" fontId="9" fillId="50" borderId="4" xfId="1309" applyFont="1" applyFill="1" applyBorder="1" applyAlignment="1">
      <alignment horizontal="justify" vertical="center" wrapText="1"/>
    </xf>
    <xf numFmtId="0" fontId="70" fillId="50" borderId="4" xfId="1309" applyFont="1" applyFill="1" applyBorder="1" applyAlignment="1">
      <alignment horizontal="left" vertical="center" wrapText="1"/>
    </xf>
    <xf numFmtId="0" fontId="9" fillId="50" borderId="4" xfId="1309" quotePrefix="1" applyFont="1" applyFill="1" applyBorder="1" applyAlignment="1">
      <alignment horizontal="left" vertical="center" wrapText="1"/>
    </xf>
    <xf numFmtId="0" fontId="9" fillId="54" borderId="4" xfId="1309" quotePrefix="1" applyFont="1" applyFill="1" applyBorder="1" applyAlignment="1">
      <alignment horizontal="left" vertical="center" wrapText="1"/>
    </xf>
    <xf numFmtId="0" fontId="272" fillId="50" borderId="4" xfId="1309" applyFont="1" applyFill="1" applyBorder="1" applyAlignment="1">
      <alignment horizontal="justify" vertical="center" wrapText="1"/>
    </xf>
    <xf numFmtId="217" fontId="273" fillId="50" borderId="4" xfId="974" applyNumberFormat="1" applyFont="1" applyFill="1" applyBorder="1" applyAlignment="1">
      <alignment horizontal="right" vertical="center"/>
    </xf>
    <xf numFmtId="0" fontId="9" fillId="54" borderId="4" xfId="1309" quotePrefix="1" applyFont="1" applyFill="1" applyBorder="1" applyAlignment="1">
      <alignment horizontal="justify" vertical="center" wrapText="1"/>
    </xf>
    <xf numFmtId="217" fontId="275" fillId="50" borderId="4" xfId="974" applyNumberFormat="1" applyFont="1" applyFill="1" applyBorder="1" applyAlignment="1">
      <alignment horizontal="right" vertical="center"/>
    </xf>
    <xf numFmtId="0" fontId="9" fillId="50" borderId="51" xfId="1309" applyFont="1" applyFill="1" applyBorder="1" applyAlignment="1">
      <alignment horizontal="center" vertical="center"/>
    </xf>
    <xf numFmtId="0" fontId="9" fillId="50" borderId="51" xfId="1309" applyFont="1" applyFill="1" applyBorder="1" applyAlignment="1">
      <alignment horizontal="justify" vertical="center" wrapText="1"/>
    </xf>
    <xf numFmtId="0" fontId="275" fillId="50" borderId="51" xfId="1309" quotePrefix="1" applyFont="1" applyFill="1" applyBorder="1" applyAlignment="1">
      <alignment horizontal="justify" vertical="center" wrapText="1"/>
    </xf>
    <xf numFmtId="217" fontId="9" fillId="50" borderId="51" xfId="974" applyNumberFormat="1" applyFont="1" applyFill="1" applyBorder="1" applyAlignment="1">
      <alignment vertical="center"/>
    </xf>
    <xf numFmtId="0" fontId="70" fillId="50" borderId="48" xfId="1309" applyFont="1" applyFill="1" applyBorder="1" applyAlignment="1">
      <alignment horizontal="center" vertical="center"/>
    </xf>
    <xf numFmtId="0" fontId="70" fillId="50" borderId="48" xfId="1309" applyFont="1" applyFill="1" applyBorder="1" applyAlignment="1">
      <alignment horizontal="justify" vertical="center" wrapText="1"/>
    </xf>
    <xf numFmtId="217" fontId="70" fillId="50" borderId="48" xfId="974" applyNumberFormat="1" applyFont="1" applyFill="1" applyBorder="1" applyAlignment="1">
      <alignment vertical="center"/>
    </xf>
    <xf numFmtId="3" fontId="257" fillId="0" borderId="1" xfId="1309" applyNumberFormat="1" applyFont="1" applyBorder="1" applyAlignment="1">
      <alignment horizontal="right" vertical="center" wrapText="1"/>
    </xf>
    <xf numFmtId="305" fontId="9" fillId="50" borderId="0" xfId="1309" applyNumberFormat="1" applyFont="1" applyFill="1" applyAlignment="1">
      <alignment vertical="center"/>
    </xf>
    <xf numFmtId="217" fontId="9" fillId="50" borderId="0" xfId="1309" applyNumberFormat="1" applyFont="1" applyFill="1" applyAlignment="1">
      <alignment vertical="center"/>
    </xf>
    <xf numFmtId="0" fontId="223" fillId="50" borderId="0" xfId="1309" applyFont="1" applyFill="1" applyAlignment="1">
      <alignment horizontal="center" vertical="center"/>
    </xf>
    <xf numFmtId="0" fontId="258" fillId="0" borderId="52" xfId="1359" applyFont="1" applyBorder="1" applyAlignment="1">
      <alignment horizontal="center" vertical="center" wrapText="1"/>
    </xf>
    <xf numFmtId="0" fontId="258" fillId="0" borderId="1" xfId="1359" applyFont="1" applyBorder="1" applyAlignment="1">
      <alignment horizontal="center" vertical="center" wrapText="1"/>
    </xf>
    <xf numFmtId="176" fontId="73" fillId="0" borderId="1" xfId="943" applyNumberFormat="1" applyFont="1" applyBorder="1" applyAlignment="1">
      <alignment horizontal="center" vertical="center" wrapText="1"/>
    </xf>
    <xf numFmtId="176" fontId="258" fillId="0" borderId="53" xfId="943" applyNumberFormat="1" applyFont="1" applyBorder="1" applyAlignment="1">
      <alignment horizontal="center" vertical="center" wrapText="1"/>
    </xf>
    <xf numFmtId="43" fontId="9" fillId="0" borderId="1" xfId="906" applyNumberFormat="1" applyFont="1" applyFill="1" applyBorder="1" applyAlignment="1">
      <alignment vertical="center"/>
    </xf>
    <xf numFmtId="43" fontId="257" fillId="0" borderId="1" xfId="906" applyNumberFormat="1" applyFont="1" applyBorder="1" applyAlignment="1">
      <alignment vertical="center"/>
    </xf>
    <xf numFmtId="39" fontId="257" fillId="0" borderId="1" xfId="906" applyNumberFormat="1" applyFont="1" applyBorder="1" applyAlignment="1">
      <alignment vertical="center"/>
    </xf>
    <xf numFmtId="0" fontId="257" fillId="0" borderId="1" xfId="1359" applyFont="1" applyFill="1" applyBorder="1" applyAlignment="1">
      <alignment horizontal="center" vertical="center"/>
    </xf>
    <xf numFmtId="0" fontId="257" fillId="0" borderId="1" xfId="1359" applyFont="1" applyFill="1" applyBorder="1" applyAlignment="1">
      <alignment vertical="center"/>
    </xf>
    <xf numFmtId="43" fontId="257" fillId="0" borderId="1" xfId="906" applyNumberFormat="1" applyFont="1" applyFill="1" applyBorder="1" applyAlignment="1">
      <alignment vertical="center"/>
    </xf>
    <xf numFmtId="43" fontId="9" fillId="0" borderId="1" xfId="906" applyNumberFormat="1" applyFont="1" applyFill="1" applyBorder="1" applyAlignment="1">
      <alignment horizontal="right" vertical="center" wrapText="1"/>
    </xf>
    <xf numFmtId="0" fontId="267" fillId="0" borderId="0" xfId="0" applyFont="1" applyFill="1"/>
    <xf numFmtId="179" fontId="267" fillId="0" borderId="0" xfId="906" applyNumberFormat="1" applyFont="1" applyFill="1" applyAlignment="1">
      <alignment vertical="center"/>
    </xf>
    <xf numFmtId="179" fontId="267" fillId="0" borderId="0" xfId="0" applyNumberFormat="1" applyFont="1" applyFill="1"/>
    <xf numFmtId="0" fontId="65" fillId="0" borderId="0" xfId="0" applyFont="1" applyAlignment="1">
      <alignment horizontal="center"/>
    </xf>
    <xf numFmtId="0" fontId="65" fillId="0" borderId="0" xfId="0" applyFont="1"/>
    <xf numFmtId="0" fontId="7" fillId="0" borderId="0" xfId="0" applyFont="1" applyAlignment="1">
      <alignment horizontal="center"/>
    </xf>
    <xf numFmtId="0" fontId="7" fillId="0" borderId="0" xfId="0" applyFont="1"/>
    <xf numFmtId="0" fontId="70" fillId="0" borderId="0" xfId="1326" applyFont="1" applyAlignment="1">
      <alignment horizontal="right"/>
    </xf>
    <xf numFmtId="0" fontId="70" fillId="0" borderId="0" xfId="1326" applyFont="1" applyAlignment="1">
      <alignment horizontal="left"/>
    </xf>
    <xf numFmtId="0" fontId="70" fillId="0" borderId="0" xfId="1326" quotePrefix="1" applyFont="1" applyAlignment="1">
      <alignment horizontal="centerContinuous"/>
    </xf>
    <xf numFmtId="0" fontId="9" fillId="0" borderId="0" xfId="1326" applyFont="1" applyAlignment="1">
      <alignment horizontal="center" vertical="center" wrapText="1"/>
    </xf>
    <xf numFmtId="0" fontId="70" fillId="0" borderId="1" xfId="1326" quotePrefix="1" applyFont="1" applyBorder="1" applyAlignment="1">
      <alignment horizontal="center" vertical="center"/>
    </xf>
    <xf numFmtId="0" fontId="70" fillId="0" borderId="1" xfId="1312" applyFont="1" applyBorder="1" applyAlignment="1">
      <alignment horizontal="center"/>
    </xf>
    <xf numFmtId="0" fontId="70" fillId="0" borderId="1" xfId="1312" applyFont="1" applyBorder="1"/>
    <xf numFmtId="3" fontId="70" fillId="0" borderId="1" xfId="1326" applyNumberFormat="1" applyFont="1" applyBorder="1"/>
    <xf numFmtId="3" fontId="9" fillId="0" borderId="1" xfId="1326" applyNumberFormat="1" applyFont="1" applyBorder="1"/>
    <xf numFmtId="179" fontId="70" fillId="0" borderId="1" xfId="906" applyNumberFormat="1" applyFont="1" applyBorder="1"/>
    <xf numFmtId="179" fontId="9" fillId="0" borderId="1" xfId="906" applyNumberFormat="1" applyFont="1" applyBorder="1"/>
    <xf numFmtId="179" fontId="78" fillId="0" borderId="1" xfId="906" applyNumberFormat="1" applyFont="1" applyBorder="1"/>
    <xf numFmtId="179" fontId="77" fillId="0" borderId="1" xfId="906" applyNumberFormat="1" applyFont="1" applyBorder="1"/>
    <xf numFmtId="0" fontId="9" fillId="0" borderId="1" xfId="1312" applyFont="1" applyBorder="1" applyAlignment="1">
      <alignment horizontal="center"/>
    </xf>
    <xf numFmtId="0" fontId="9" fillId="0" borderId="1" xfId="1312" applyFont="1" applyBorder="1"/>
    <xf numFmtId="0" fontId="77" fillId="0" borderId="1" xfId="1312" applyFont="1" applyBorder="1" applyAlignment="1">
      <alignment horizontal="center"/>
    </xf>
    <xf numFmtId="0" fontId="77" fillId="0" borderId="1" xfId="1312" applyFont="1" applyBorder="1"/>
    <xf numFmtId="0" fontId="9" fillId="0" borderId="1" xfId="1312" quotePrefix="1" applyFont="1" applyBorder="1" applyAlignment="1">
      <alignment horizontal="center"/>
    </xf>
    <xf numFmtId="0" fontId="77" fillId="0" borderId="1" xfId="1312" quotePrefix="1" applyFont="1" applyBorder="1" applyAlignment="1">
      <alignment horizontal="center"/>
    </xf>
    <xf numFmtId="0" fontId="9" fillId="0" borderId="1" xfId="1312" applyFont="1" applyBorder="1" applyAlignment="1">
      <alignment horizontal="center" vertical="center"/>
    </xf>
    <xf numFmtId="0" fontId="9" fillId="0" borderId="1" xfId="1312" applyFont="1" applyBorder="1" applyAlignment="1">
      <alignment horizontal="left" vertical="center" wrapText="1"/>
    </xf>
    <xf numFmtId="179" fontId="9" fillId="0" borderId="1" xfId="906" applyNumberFormat="1" applyFont="1" applyBorder="1" applyAlignment="1">
      <alignment horizontal="center" vertical="center" wrapText="1"/>
    </xf>
    <xf numFmtId="0" fontId="228" fillId="0" borderId="1" xfId="1312" applyFont="1" applyBorder="1"/>
    <xf numFmtId="0" fontId="9" fillId="0" borderId="1" xfId="1312" applyFont="1" applyBorder="1" applyAlignment="1">
      <alignment vertical="center"/>
    </xf>
    <xf numFmtId="3" fontId="9" fillId="0" borderId="1" xfId="1326" applyNumberFormat="1" applyFont="1" applyBorder="1" applyAlignment="1">
      <alignment vertical="center"/>
    </xf>
    <xf numFmtId="0" fontId="70" fillId="0" borderId="0" xfId="1312" applyFont="1" applyAlignment="1">
      <alignment horizontal="centerContinuous"/>
    </xf>
    <xf numFmtId="0" fontId="9" fillId="0" borderId="0" xfId="1312" applyFont="1" applyAlignment="1">
      <alignment horizontal="centerContinuous"/>
    </xf>
    <xf numFmtId="0" fontId="73" fillId="0" borderId="0" xfId="1312" applyFont="1" applyAlignment="1">
      <alignment horizontal="centerContinuous"/>
    </xf>
    <xf numFmtId="0" fontId="73" fillId="0" borderId="0" xfId="1312" applyFont="1" applyAlignment="1">
      <alignment horizontal="right"/>
    </xf>
    <xf numFmtId="0" fontId="9" fillId="0" borderId="0" xfId="1312" applyFont="1"/>
    <xf numFmtId="0" fontId="73" fillId="0" borderId="0" xfId="1312" applyFont="1" applyAlignment="1">
      <alignment horizontal="left"/>
    </xf>
    <xf numFmtId="0" fontId="229" fillId="0" borderId="0" xfId="1312" applyFont="1" applyAlignment="1">
      <alignment horizontal="centerContinuous"/>
    </xf>
    <xf numFmtId="0" fontId="73" fillId="0" borderId="0" xfId="1312" quotePrefix="1" applyFont="1" applyAlignment="1">
      <alignment horizontal="centerContinuous"/>
    </xf>
    <xf numFmtId="0" fontId="218" fillId="0" borderId="0" xfId="1312" applyFont="1" applyAlignment="1">
      <alignment horizontal="left"/>
    </xf>
    <xf numFmtId="0" fontId="75" fillId="0" borderId="0" xfId="1312" applyFont="1"/>
    <xf numFmtId="0" fontId="230" fillId="0" borderId="0" xfId="1312" applyFont="1"/>
    <xf numFmtId="0" fontId="74" fillId="0" borderId="0" xfId="1312" applyFont="1" applyAlignment="1">
      <alignment vertical="center"/>
    </xf>
    <xf numFmtId="0" fontId="218" fillId="0" borderId="0" xfId="1312" applyFont="1"/>
    <xf numFmtId="0" fontId="70" fillId="0" borderId="1" xfId="1312" applyFont="1" applyBorder="1" applyAlignment="1">
      <alignment horizontal="center" vertical="center"/>
    </xf>
    <xf numFmtId="0" fontId="73" fillId="0" borderId="0" xfId="1312" applyFont="1"/>
    <xf numFmtId="0" fontId="70" fillId="0" borderId="0" xfId="1312" applyFont="1"/>
    <xf numFmtId="179" fontId="9" fillId="0" borderId="1" xfId="906" applyNumberFormat="1" applyFont="1" applyBorder="1" applyAlignment="1">
      <alignment horizontal="left" vertical="center" wrapText="1"/>
    </xf>
    <xf numFmtId="179" fontId="70" fillId="0" borderId="1" xfId="906" applyNumberFormat="1" applyFont="1" applyBorder="1" applyAlignment="1">
      <alignment horizontal="left" vertical="center" wrapText="1"/>
    </xf>
    <xf numFmtId="0" fontId="9" fillId="0" borderId="1" xfId="1312" applyFont="1" applyBorder="1" applyAlignment="1">
      <alignment wrapText="1"/>
    </xf>
    <xf numFmtId="0" fontId="70" fillId="0" borderId="1" xfId="1326" applyFont="1" applyBorder="1" applyAlignment="1">
      <alignment horizontal="center"/>
    </xf>
    <xf numFmtId="3" fontId="70" fillId="0" borderId="1" xfId="1326" applyNumberFormat="1" applyFont="1" applyBorder="1" applyAlignment="1">
      <alignment horizontal="center"/>
    </xf>
    <xf numFmtId="0" fontId="70" fillId="0" borderId="0" xfId="1326" applyFont="1" applyAlignment="1">
      <alignment horizontal="center"/>
    </xf>
    <xf numFmtId="0" fontId="70" fillId="0" borderId="1" xfId="1326" applyFont="1" applyBorder="1" applyAlignment="1">
      <alignment horizontal="left"/>
    </xf>
    <xf numFmtId="179" fontId="70" fillId="0" borderId="1" xfId="906" applyNumberFormat="1" applyFont="1" applyBorder="1" applyAlignment="1">
      <alignment horizontal="center"/>
    </xf>
    <xf numFmtId="179" fontId="77" fillId="0" borderId="1" xfId="906" applyNumberFormat="1" applyFont="1" applyFill="1" applyBorder="1"/>
    <xf numFmtId="179" fontId="9" fillId="0" borderId="1" xfId="906" applyNumberFormat="1" applyFont="1" applyFill="1" applyBorder="1"/>
    <xf numFmtId="3" fontId="279" fillId="0" borderId="74" xfId="0" applyNumberFormat="1" applyFont="1" applyBorder="1" applyAlignment="1">
      <alignment horizontal="right" vertical="center" wrapText="1"/>
    </xf>
    <xf numFmtId="0" fontId="218" fillId="0" borderId="25" xfId="1312" applyFont="1" applyBorder="1" applyAlignment="1">
      <alignment horizontal="center"/>
    </xf>
    <xf numFmtId="0" fontId="74" fillId="0" borderId="52" xfId="1312" applyFont="1" applyBorder="1" applyAlignment="1">
      <alignment horizontal="center" vertical="center"/>
    </xf>
    <xf numFmtId="0" fontId="74" fillId="0" borderId="54" xfId="1312" applyFont="1" applyBorder="1" applyAlignment="1">
      <alignment horizontal="center" vertical="center"/>
    </xf>
    <xf numFmtId="0" fontId="74" fillId="0" borderId="1" xfId="1312" applyFont="1" applyBorder="1" applyAlignment="1">
      <alignment horizontal="center" vertical="center"/>
    </xf>
    <xf numFmtId="0" fontId="74" fillId="0" borderId="53" xfId="1312" applyFont="1" applyBorder="1" applyAlignment="1">
      <alignment horizontal="center" vertical="center"/>
    </xf>
    <xf numFmtId="0" fontId="77" fillId="0" borderId="0" xfId="1312" applyFont="1"/>
    <xf numFmtId="0" fontId="75" fillId="0" borderId="0" xfId="1312" applyFont="1" applyBorder="1"/>
    <xf numFmtId="0" fontId="79" fillId="0" borderId="0" xfId="1312" applyFont="1"/>
    <xf numFmtId="0" fontId="74" fillId="0" borderId="55" xfId="1312" applyFont="1" applyBorder="1" applyAlignment="1"/>
    <xf numFmtId="0" fontId="74" fillId="0" borderId="14" xfId="1312" applyFont="1" applyBorder="1" applyAlignment="1">
      <alignment horizontal="center"/>
    </xf>
    <xf numFmtId="0" fontId="74" fillId="0" borderId="55" xfId="1312" applyFont="1" applyBorder="1" applyAlignment="1">
      <alignment horizontal="center"/>
    </xf>
    <xf numFmtId="0" fontId="74" fillId="0" borderId="27" xfId="1312" applyFont="1" applyBorder="1" applyAlignment="1">
      <alignment horizontal="center"/>
    </xf>
    <xf numFmtId="0" fontId="74" fillId="0" borderId="14" xfId="1312" applyFont="1" applyBorder="1" applyAlignment="1">
      <alignment horizontal="center" vertical="center" wrapText="1"/>
    </xf>
    <xf numFmtId="0" fontId="74" fillId="0" borderId="55" xfId="1312" applyFont="1" applyBorder="1" applyAlignment="1">
      <alignment horizontal="center" vertical="center" wrapText="1"/>
    </xf>
    <xf numFmtId="0" fontId="74" fillId="0" borderId="14" xfId="1312" quotePrefix="1" applyFont="1" applyBorder="1" applyAlignment="1">
      <alignment horizontal="center" vertical="center" wrapText="1"/>
    </xf>
    <xf numFmtId="0" fontId="221" fillId="0" borderId="0" xfId="1312" applyFont="1"/>
    <xf numFmtId="0" fontId="79" fillId="0" borderId="0" xfId="1312" applyFont="1" applyBorder="1"/>
    <xf numFmtId="0" fontId="74" fillId="0" borderId="0" xfId="1312" applyFont="1"/>
    <xf numFmtId="0" fontId="74" fillId="0" borderId="1" xfId="1312" applyFont="1" applyBorder="1" applyAlignment="1">
      <alignment horizontal="center"/>
    </xf>
    <xf numFmtId="0" fontId="231" fillId="0" borderId="1" xfId="1312" applyFont="1" applyBorder="1"/>
    <xf numFmtId="3" fontId="74" fillId="0" borderId="1" xfId="1312" applyNumberFormat="1" applyFont="1" applyBorder="1"/>
    <xf numFmtId="0" fontId="79" fillId="0" borderId="1" xfId="1312" applyFont="1" applyBorder="1" applyAlignment="1">
      <alignment horizontal="center"/>
    </xf>
    <xf numFmtId="209" fontId="79" fillId="0" borderId="1" xfId="1378" applyNumberFormat="1" applyFont="1" applyFill="1" applyBorder="1" applyAlignment="1">
      <alignment vertical="center"/>
    </xf>
    <xf numFmtId="3" fontId="79" fillId="0" borderId="1" xfId="1312" applyNumberFormat="1" applyFont="1" applyBorder="1"/>
    <xf numFmtId="0" fontId="79" fillId="0" borderId="1" xfId="1312" applyFont="1" applyBorder="1"/>
    <xf numFmtId="0" fontId="79" fillId="0" borderId="1" xfId="1312" applyFont="1" applyBorder="1" applyAlignment="1">
      <alignment horizontal="center" vertical="center"/>
    </xf>
    <xf numFmtId="3" fontId="75" fillId="0" borderId="0" xfId="1312" applyNumberFormat="1" applyFont="1" applyBorder="1"/>
    <xf numFmtId="0" fontId="240" fillId="0" borderId="1" xfId="0" applyFont="1" applyBorder="1" applyAlignment="1">
      <alignment horizontal="center" vertical="center" wrapText="1"/>
    </xf>
    <xf numFmtId="0" fontId="269" fillId="0" borderId="0" xfId="1326" applyFont="1"/>
    <xf numFmtId="3" fontId="269" fillId="0" borderId="0" xfId="1326" applyNumberFormat="1" applyFont="1"/>
    <xf numFmtId="0" fontId="280" fillId="0" borderId="0" xfId="1326" applyFont="1" applyAlignment="1">
      <alignment vertical="center"/>
    </xf>
    <xf numFmtId="0" fontId="268" fillId="0" borderId="0" xfId="1326" applyFont="1"/>
    <xf numFmtId="179" fontId="268" fillId="0" borderId="0" xfId="906" applyNumberFormat="1" applyFont="1"/>
    <xf numFmtId="179" fontId="269" fillId="0" borderId="0" xfId="1326" applyNumberFormat="1" applyFont="1"/>
    <xf numFmtId="179" fontId="269" fillId="0" borderId="0" xfId="1326" applyNumberFormat="1" applyFont="1" applyAlignment="1">
      <alignment horizontal="center" vertical="center" wrapText="1"/>
    </xf>
    <xf numFmtId="0" fontId="269" fillId="0" borderId="0" xfId="1326" applyFont="1" applyAlignment="1">
      <alignment horizontal="center" vertical="center" wrapText="1"/>
    </xf>
    <xf numFmtId="0" fontId="280" fillId="0" borderId="0" xfId="1326" applyFont="1" applyAlignment="1">
      <alignment horizontal="center"/>
    </xf>
    <xf numFmtId="0" fontId="269" fillId="0" borderId="0" xfId="1312" applyFont="1"/>
    <xf numFmtId="179" fontId="269" fillId="0" borderId="0" xfId="1312" applyNumberFormat="1" applyFont="1"/>
    <xf numFmtId="0" fontId="267" fillId="0" borderId="0" xfId="1312" applyFont="1"/>
    <xf numFmtId="0" fontId="281" fillId="0" borderId="0" xfId="1312" applyFont="1" applyAlignment="1">
      <alignment vertical="center"/>
    </xf>
    <xf numFmtId="0" fontId="282" fillId="0" borderId="0" xfId="1312" applyFont="1"/>
    <xf numFmtId="3" fontId="282" fillId="0" borderId="0" xfId="1312" applyNumberFormat="1" applyFont="1"/>
    <xf numFmtId="3" fontId="283" fillId="0" borderId="0" xfId="1312" applyNumberFormat="1" applyFont="1"/>
    <xf numFmtId="0" fontId="283" fillId="0" borderId="0" xfId="1312" applyFont="1"/>
    <xf numFmtId="179" fontId="284" fillId="0" borderId="0" xfId="1312" applyNumberFormat="1" applyFont="1"/>
    <xf numFmtId="0" fontId="284" fillId="0" borderId="0" xfId="1312" applyFont="1"/>
    <xf numFmtId="179" fontId="282" fillId="0" borderId="0" xfId="1312" applyNumberFormat="1" applyFont="1"/>
    <xf numFmtId="0" fontId="280" fillId="0" borderId="0" xfId="1312" applyFont="1"/>
    <xf numFmtId="0" fontId="269" fillId="50" borderId="0" xfId="0" applyFont="1" applyFill="1"/>
    <xf numFmtId="0" fontId="285" fillId="0" borderId="0" xfId="0" applyFont="1" applyFill="1" applyAlignment="1">
      <alignment vertical="center"/>
    </xf>
    <xf numFmtId="179" fontId="285" fillId="0" borderId="0" xfId="906" applyNumberFormat="1" applyFont="1" applyFill="1" applyAlignment="1">
      <alignment vertical="center"/>
    </xf>
    <xf numFmtId="0" fontId="286" fillId="0" borderId="0" xfId="0" applyNumberFormat="1" applyFont="1" applyFill="1" applyAlignment="1">
      <alignment horizontal="center" vertical="center"/>
    </xf>
    <xf numFmtId="0" fontId="287" fillId="0" borderId="1" xfId="0" applyFont="1" applyFill="1" applyBorder="1" applyAlignment="1">
      <alignment horizontal="center" vertical="center" wrapText="1"/>
    </xf>
    <xf numFmtId="0" fontId="287" fillId="0" borderId="1" xfId="0" applyNumberFormat="1" applyFont="1" applyFill="1" applyBorder="1" applyAlignment="1">
      <alignment horizontal="center" vertical="center" wrapText="1"/>
    </xf>
    <xf numFmtId="179" fontId="287" fillId="0" borderId="1" xfId="906" applyNumberFormat="1" applyFont="1" applyFill="1" applyBorder="1" applyAlignment="1">
      <alignment horizontal="center" vertical="center" wrapText="1"/>
    </xf>
    <xf numFmtId="0" fontId="287" fillId="0" borderId="4" xfId="0" applyFont="1" applyFill="1" applyBorder="1" applyAlignment="1">
      <alignment horizontal="center" vertical="center"/>
    </xf>
    <xf numFmtId="0" fontId="287" fillId="0" borderId="4" xfId="0" applyNumberFormat="1" applyFont="1" applyFill="1" applyBorder="1" applyAlignment="1">
      <alignment vertical="center"/>
    </xf>
    <xf numFmtId="3" fontId="288" fillId="0" borderId="4" xfId="0" applyNumberFormat="1" applyFont="1" applyFill="1" applyBorder="1" applyAlignment="1">
      <alignment vertical="center"/>
    </xf>
    <xf numFmtId="179" fontId="288" fillId="0" borderId="4" xfId="906" applyNumberFormat="1" applyFont="1" applyFill="1" applyBorder="1" applyAlignment="1">
      <alignment vertical="center"/>
    </xf>
    <xf numFmtId="4" fontId="285" fillId="0" borderId="0" xfId="0" applyNumberFormat="1" applyFont="1" applyFill="1" applyAlignment="1">
      <alignment vertical="center"/>
    </xf>
    <xf numFmtId="179" fontId="285" fillId="0" borderId="0" xfId="0" applyNumberFormat="1" applyFont="1" applyFill="1" applyAlignment="1">
      <alignment vertical="center"/>
    </xf>
    <xf numFmtId="0" fontId="285" fillId="0" borderId="4" xfId="0" applyFont="1" applyFill="1" applyBorder="1" applyAlignment="1">
      <alignment horizontal="center" vertical="center"/>
    </xf>
    <xf numFmtId="0" fontId="245" fillId="0" borderId="4" xfId="0" applyNumberFormat="1" applyFont="1" applyFill="1" applyBorder="1" applyAlignment="1">
      <alignment vertical="center"/>
    </xf>
    <xf numFmtId="3" fontId="285" fillId="0" borderId="4" xfId="0" applyNumberFormat="1" applyFont="1" applyFill="1" applyBorder="1" applyAlignment="1">
      <alignment vertical="center"/>
    </xf>
    <xf numFmtId="179" fontId="285" fillId="0" borderId="4" xfId="906" applyNumberFormat="1" applyFont="1" applyFill="1" applyBorder="1" applyAlignment="1">
      <alignment vertical="center"/>
    </xf>
    <xf numFmtId="4" fontId="285" fillId="0" borderId="4" xfId="0" applyNumberFormat="1" applyFont="1" applyFill="1" applyBorder="1" applyAlignment="1">
      <alignment vertical="center"/>
    </xf>
    <xf numFmtId="0" fontId="290" fillId="0" borderId="4" xfId="0" applyNumberFormat="1" applyFont="1" applyFill="1" applyBorder="1" applyAlignment="1">
      <alignment vertical="center"/>
    </xf>
    <xf numFmtId="179" fontId="289" fillId="0" borderId="4" xfId="906" applyNumberFormat="1" applyFont="1" applyFill="1" applyBorder="1" applyAlignment="1">
      <alignment vertical="center"/>
    </xf>
    <xf numFmtId="3" fontId="289" fillId="0" borderId="4" xfId="0" applyNumberFormat="1" applyFont="1" applyFill="1" applyBorder="1" applyAlignment="1">
      <alignment vertical="center"/>
    </xf>
    <xf numFmtId="3" fontId="285" fillId="0" borderId="0" xfId="0" applyNumberFormat="1" applyFont="1" applyFill="1" applyAlignment="1">
      <alignment vertical="center"/>
    </xf>
    <xf numFmtId="179" fontId="288" fillId="0" borderId="0" xfId="0" applyNumberFormat="1" applyFont="1" applyFill="1" applyAlignment="1">
      <alignment vertical="center"/>
    </xf>
    <xf numFmtId="0" fontId="288" fillId="0" borderId="0" xfId="0" applyFont="1" applyFill="1" applyAlignment="1">
      <alignment vertical="center"/>
    </xf>
    <xf numFmtId="170" fontId="285" fillId="0" borderId="0" xfId="0" applyNumberFormat="1" applyFont="1" applyFill="1" applyAlignment="1">
      <alignment vertical="center"/>
    </xf>
    <xf numFmtId="0" fontId="285" fillId="0" borderId="51" xfId="0" applyFont="1" applyFill="1" applyBorder="1" applyAlignment="1">
      <alignment horizontal="center" vertical="center" wrapText="1"/>
    </xf>
    <xf numFmtId="0" fontId="245" fillId="0" borderId="51" xfId="0" applyNumberFormat="1" applyFont="1" applyFill="1" applyBorder="1" applyAlignment="1">
      <alignment horizontal="left" vertical="center" wrapText="1"/>
    </xf>
    <xf numFmtId="3" fontId="285" fillId="0" borderId="51" xfId="0" applyNumberFormat="1" applyFont="1" applyFill="1" applyBorder="1" applyAlignment="1">
      <alignment vertical="center"/>
    </xf>
    <xf numFmtId="0" fontId="258" fillId="0" borderId="0" xfId="0" applyNumberFormat="1" applyFont="1" applyFill="1" applyAlignment="1">
      <alignment horizontal="center" vertical="center"/>
    </xf>
    <xf numFmtId="0" fontId="287" fillId="0" borderId="31" xfId="0" applyFont="1" applyFill="1" applyBorder="1" applyAlignment="1">
      <alignment horizontal="center" vertical="center"/>
    </xf>
    <xf numFmtId="0" fontId="287" fillId="0" borderId="31" xfId="0" applyNumberFormat="1" applyFont="1" applyFill="1" applyBorder="1" applyAlignment="1">
      <alignment vertical="center"/>
    </xf>
    <xf numFmtId="4" fontId="288" fillId="0" borderId="31" xfId="0" applyNumberFormat="1" applyFont="1" applyFill="1" applyBorder="1" applyAlignment="1">
      <alignment vertical="center"/>
    </xf>
    <xf numFmtId="179" fontId="288" fillId="0" borderId="31" xfId="906" applyNumberFormat="1" applyFont="1" applyFill="1" applyBorder="1" applyAlignment="1">
      <alignment vertical="center"/>
    </xf>
    <xf numFmtId="176" fontId="285" fillId="0" borderId="0" xfId="0" applyNumberFormat="1" applyFont="1" applyFill="1" applyAlignment="1">
      <alignment vertical="center"/>
    </xf>
    <xf numFmtId="0" fontId="290" fillId="0" borderId="4" xfId="0" applyNumberFormat="1" applyFont="1" applyFill="1" applyBorder="1" applyAlignment="1">
      <alignment horizontal="left" vertical="center" wrapText="1"/>
    </xf>
    <xf numFmtId="0" fontId="285" fillId="0" borderId="4" xfId="0" applyFont="1" applyFill="1" applyBorder="1" applyAlignment="1">
      <alignment horizontal="center" vertical="center" wrapText="1"/>
    </xf>
    <xf numFmtId="0" fontId="245" fillId="0" borderId="4" xfId="0" applyNumberFormat="1" applyFont="1" applyFill="1" applyBorder="1" applyAlignment="1">
      <alignment horizontal="left" vertical="center" wrapText="1"/>
    </xf>
    <xf numFmtId="0" fontId="285" fillId="0" borderId="51" xfId="0" applyFont="1" applyFill="1" applyBorder="1" applyAlignment="1">
      <alignment horizontal="center" vertical="center"/>
    </xf>
    <xf numFmtId="0" fontId="245" fillId="0" borderId="51" xfId="0" applyNumberFormat="1" applyFont="1" applyFill="1" applyBorder="1" applyAlignment="1">
      <alignment vertical="center"/>
    </xf>
    <xf numFmtId="0" fontId="287" fillId="0" borderId="48" xfId="0" applyFont="1" applyFill="1" applyBorder="1" applyAlignment="1">
      <alignment horizontal="center" vertical="center"/>
    </xf>
    <xf numFmtId="0" fontId="287" fillId="0" borderId="48" xfId="0" applyNumberFormat="1" applyFont="1" applyFill="1" applyBorder="1" applyAlignment="1">
      <alignment vertical="center"/>
    </xf>
    <xf numFmtId="3" fontId="288" fillId="0" borderId="48" xfId="0" applyNumberFormat="1" applyFont="1" applyFill="1" applyBorder="1" applyAlignment="1">
      <alignment vertical="center"/>
    </xf>
    <xf numFmtId="179" fontId="288" fillId="0" borderId="48" xfId="906" applyNumberFormat="1" applyFont="1" applyFill="1" applyBorder="1" applyAlignment="1">
      <alignment vertical="center"/>
    </xf>
    <xf numFmtId="4" fontId="288" fillId="0" borderId="48" xfId="0" applyNumberFormat="1" applyFont="1" applyFill="1" applyBorder="1" applyAlignment="1">
      <alignment vertical="center"/>
    </xf>
    <xf numFmtId="0" fontId="270" fillId="0" borderId="1" xfId="0" applyFont="1" applyBorder="1" applyAlignment="1">
      <alignment horizontal="center" vertical="center" wrapText="1"/>
    </xf>
    <xf numFmtId="0" fontId="270" fillId="50" borderId="1" xfId="0" applyFont="1" applyFill="1" applyBorder="1" applyAlignment="1">
      <alignment horizontal="center" vertical="center" wrapText="1"/>
    </xf>
    <xf numFmtId="0" fontId="240" fillId="0" borderId="1" xfId="0" applyFont="1" applyBorder="1" applyAlignment="1">
      <alignment vertical="center" wrapText="1"/>
    </xf>
    <xf numFmtId="0" fontId="244" fillId="0" borderId="1" xfId="0" applyFont="1" applyBorder="1" applyAlignment="1">
      <alignment horizontal="center" vertical="center" wrapText="1"/>
    </xf>
    <xf numFmtId="0" fontId="244" fillId="0" borderId="1" xfId="0" applyFont="1" applyBorder="1" applyAlignment="1">
      <alignment vertical="center" wrapText="1"/>
    </xf>
    <xf numFmtId="213" fontId="244" fillId="0" borderId="1" xfId="1019" applyNumberFormat="1" applyFont="1" applyBorder="1" applyAlignment="1">
      <alignment horizontal="center" vertical="center" wrapText="1"/>
    </xf>
    <xf numFmtId="179" fontId="243" fillId="0" borderId="1" xfId="906" applyNumberFormat="1" applyFont="1" applyBorder="1"/>
    <xf numFmtId="179" fontId="244" fillId="50" borderId="1" xfId="906" applyNumberFormat="1" applyFont="1" applyFill="1" applyBorder="1" applyAlignment="1">
      <alignment horizontal="center" vertical="center" wrapText="1"/>
    </xf>
    <xf numFmtId="213" fontId="243" fillId="0" borderId="1" xfId="1020" applyNumberFormat="1" applyFont="1" applyFill="1" applyBorder="1" applyAlignment="1">
      <alignment horizontal="center" vertical="center" wrapText="1"/>
    </xf>
    <xf numFmtId="3" fontId="291" fillId="0" borderId="1" xfId="0" applyNumberFormat="1" applyFont="1" applyFill="1" applyBorder="1" applyAlignment="1">
      <alignment vertical="center"/>
    </xf>
    <xf numFmtId="179" fontId="240" fillId="50" borderId="1" xfId="906" applyNumberFormat="1" applyFont="1" applyFill="1" applyBorder="1" applyAlignment="1">
      <alignment horizontal="center" vertical="center" wrapText="1"/>
    </xf>
    <xf numFmtId="0" fontId="292" fillId="0" borderId="0" xfId="0" applyFont="1" applyAlignment="1">
      <alignment horizontal="center"/>
    </xf>
    <xf numFmtId="179" fontId="292" fillId="0" borderId="0" xfId="0" applyNumberFormat="1" applyFont="1" applyAlignment="1">
      <alignment horizontal="center"/>
    </xf>
    <xf numFmtId="179" fontId="293" fillId="0" borderId="0" xfId="0" applyNumberFormat="1" applyFont="1" applyAlignment="1">
      <alignment horizontal="center"/>
    </xf>
    <xf numFmtId="179" fontId="292" fillId="0" borderId="0" xfId="906" applyNumberFormat="1" applyFont="1" applyAlignment="1">
      <alignment horizontal="center"/>
    </xf>
    <xf numFmtId="179" fontId="267" fillId="0" borderId="0" xfId="0" applyNumberFormat="1" applyFont="1"/>
    <xf numFmtId="306" fontId="269" fillId="0" borderId="0" xfId="0" applyNumberFormat="1" applyFont="1" applyAlignment="1">
      <alignment vertical="center"/>
    </xf>
    <xf numFmtId="0" fontId="294" fillId="0" borderId="0" xfId="0" applyFont="1"/>
    <xf numFmtId="4" fontId="294" fillId="0" borderId="0" xfId="0" applyNumberFormat="1" applyFont="1"/>
    <xf numFmtId="0" fontId="295" fillId="0" borderId="0" xfId="0" applyFont="1" applyAlignment="1">
      <alignment horizontal="center" vertical="center"/>
    </xf>
    <xf numFmtId="0" fontId="266" fillId="0" borderId="0" xfId="0" applyFont="1" applyAlignment="1">
      <alignment vertical="center"/>
    </xf>
    <xf numFmtId="0" fontId="294" fillId="0" borderId="0" xfId="0" applyFont="1" applyAlignment="1">
      <alignment vertical="center"/>
    </xf>
    <xf numFmtId="179" fontId="294" fillId="0" borderId="0" xfId="0" applyNumberFormat="1" applyFont="1" applyAlignment="1">
      <alignment vertical="center"/>
    </xf>
    <xf numFmtId="0" fontId="297" fillId="0" borderId="0" xfId="0" applyNumberFormat="1" applyFont="1" applyFill="1" applyAlignment="1">
      <alignment horizontal="center" vertical="center"/>
    </xf>
    <xf numFmtId="0" fontId="297" fillId="0" borderId="0" xfId="0" applyFont="1" applyFill="1" applyAlignment="1">
      <alignment horizontal="center" vertical="center"/>
    </xf>
    <xf numFmtId="0" fontId="258" fillId="0" borderId="0" xfId="0" applyNumberFormat="1" applyFont="1" applyFill="1" applyAlignment="1">
      <alignment horizontal="center" vertical="center"/>
    </xf>
    <xf numFmtId="0" fontId="298" fillId="0" borderId="0" xfId="0" applyFont="1" applyFill="1" applyAlignment="1">
      <alignment horizontal="center" vertical="center"/>
    </xf>
    <xf numFmtId="0" fontId="245" fillId="0" borderId="0" xfId="0" applyFont="1" applyFill="1" applyAlignment="1">
      <alignment horizontal="center" vertical="center"/>
    </xf>
    <xf numFmtId="0" fontId="287" fillId="0" borderId="0" xfId="0" applyNumberFormat="1" applyFont="1" applyFill="1" applyAlignment="1">
      <alignment horizontal="center" vertical="center"/>
    </xf>
    <xf numFmtId="0" fontId="299" fillId="0" borderId="0" xfId="0" applyNumberFormat="1" applyFont="1" applyFill="1" applyAlignment="1">
      <alignment horizontal="center" vertical="center"/>
    </xf>
    <xf numFmtId="0" fontId="246" fillId="0" borderId="0" xfId="1362" applyFont="1" applyAlignment="1">
      <alignment horizontal="center"/>
    </xf>
    <xf numFmtId="0" fontId="247" fillId="0" borderId="0" xfId="1362" applyFont="1" applyAlignment="1">
      <alignment horizontal="center" vertical="center"/>
    </xf>
    <xf numFmtId="0" fontId="246" fillId="53" borderId="1" xfId="1362" applyFont="1" applyFill="1" applyBorder="1" applyAlignment="1">
      <alignment horizontal="center" vertical="center" wrapText="1"/>
    </xf>
    <xf numFmtId="0" fontId="247" fillId="0" borderId="0" xfId="1362" applyFont="1" applyAlignment="1">
      <alignment horizontal="center"/>
    </xf>
    <xf numFmtId="217" fontId="246" fillId="0" borderId="0" xfId="1023" applyNumberFormat="1" applyFont="1" applyAlignment="1">
      <alignment horizontal="center"/>
    </xf>
    <xf numFmtId="217" fontId="246" fillId="53" borderId="1" xfId="1023" applyNumberFormat="1" applyFont="1" applyFill="1" applyBorder="1" applyAlignment="1">
      <alignment horizontal="center" vertical="center" wrapText="1"/>
    </xf>
    <xf numFmtId="217" fontId="247" fillId="0" borderId="0" xfId="1023" applyNumberFormat="1" applyFont="1" applyAlignment="1">
      <alignment horizontal="center"/>
    </xf>
    <xf numFmtId="0" fontId="77" fillId="0" borderId="0" xfId="1326" applyFont="1" applyBorder="1" applyAlignment="1">
      <alignment horizontal="right"/>
    </xf>
    <xf numFmtId="0" fontId="77" fillId="0" borderId="0" xfId="1326" applyFont="1" applyAlignment="1">
      <alignment horizontal="center"/>
    </xf>
    <xf numFmtId="0" fontId="70" fillId="0" borderId="1" xfId="1312" applyFont="1" applyBorder="1" applyAlignment="1">
      <alignment horizontal="center" vertical="center" wrapText="1"/>
    </xf>
    <xf numFmtId="0" fontId="70" fillId="0" borderId="1" xfId="1312" applyFont="1" applyBorder="1" applyAlignment="1">
      <alignment horizontal="center" vertical="center"/>
    </xf>
    <xf numFmtId="0" fontId="218" fillId="0" borderId="0" xfId="1312" applyFont="1" applyAlignment="1">
      <alignment horizontal="center"/>
    </xf>
    <xf numFmtId="0" fontId="73" fillId="0" borderId="0" xfId="1312" applyFont="1" applyAlignment="1">
      <alignment horizontal="right"/>
    </xf>
    <xf numFmtId="0" fontId="218" fillId="0" borderId="0" xfId="1312" applyFont="1" applyBorder="1" applyAlignment="1">
      <alignment horizontal="right"/>
    </xf>
    <xf numFmtId="0" fontId="264" fillId="0" borderId="0" xfId="0" applyFont="1" applyAlignment="1">
      <alignment horizontal="center"/>
    </xf>
    <xf numFmtId="0" fontId="295" fillId="0" borderId="0" xfId="0" applyFont="1" applyBorder="1" applyAlignment="1">
      <alignment horizontal="right"/>
    </xf>
    <xf numFmtId="0" fontId="240" fillId="0" borderId="1" xfId="0" applyFont="1" applyBorder="1" applyAlignment="1">
      <alignment horizontal="center" vertical="center" wrapText="1"/>
    </xf>
    <xf numFmtId="0" fontId="240" fillId="0" borderId="0" xfId="0" applyFont="1" applyAlignment="1">
      <alignment horizontal="right" vertical="center"/>
    </xf>
    <xf numFmtId="0" fontId="300" fillId="0" borderId="0" xfId="0" applyFont="1" applyAlignment="1">
      <alignment horizontal="center"/>
    </xf>
    <xf numFmtId="0" fontId="240" fillId="0" borderId="1" xfId="0" applyFont="1" applyBorder="1" applyAlignment="1">
      <alignment horizontal="center" vertical="center"/>
    </xf>
    <xf numFmtId="0" fontId="240" fillId="50" borderId="1" xfId="0" applyFont="1" applyFill="1" applyBorder="1" applyAlignment="1">
      <alignment horizontal="center" vertical="center" wrapText="1"/>
    </xf>
    <xf numFmtId="4" fontId="262" fillId="52" borderId="72" xfId="0" applyNumberFormat="1" applyFont="1" applyFill="1" applyBorder="1" applyAlignment="1">
      <alignment horizontal="center" vertical="center" wrapText="1"/>
    </xf>
    <xf numFmtId="4" fontId="262" fillId="52" borderId="71" xfId="0" applyNumberFormat="1" applyFont="1" applyFill="1" applyBorder="1" applyAlignment="1">
      <alignment horizontal="center" vertical="center" wrapText="1"/>
    </xf>
    <xf numFmtId="0" fontId="262" fillId="0" borderId="0" xfId="0" applyFont="1" applyAlignment="1">
      <alignment horizontal="center" wrapText="1"/>
    </xf>
    <xf numFmtId="0" fontId="301" fillId="0" borderId="0" xfId="0" applyFont="1" applyAlignment="1">
      <alignment horizontal="center" wrapText="1"/>
    </xf>
    <xf numFmtId="4" fontId="262" fillId="52" borderId="79" xfId="0" applyNumberFormat="1" applyFont="1" applyFill="1" applyBorder="1" applyAlignment="1">
      <alignment horizontal="center" vertical="center" wrapText="1"/>
    </xf>
    <xf numFmtId="4" fontId="262" fillId="52" borderId="80" xfId="0" applyNumberFormat="1" applyFont="1" applyFill="1" applyBorder="1" applyAlignment="1">
      <alignment horizontal="center" vertical="center" wrapText="1"/>
    </xf>
    <xf numFmtId="0" fontId="74" fillId="0" borderId="0" xfId="0" applyFont="1" applyAlignment="1">
      <alignment horizontal="right" wrapText="1"/>
    </xf>
    <xf numFmtId="0" fontId="301" fillId="0" borderId="78" xfId="0" applyFont="1" applyBorder="1" applyAlignment="1">
      <alignment horizontal="right" wrapText="1"/>
    </xf>
    <xf numFmtId="0" fontId="262" fillId="52" borderId="72" xfId="0" applyFont="1" applyFill="1" applyBorder="1" applyAlignment="1">
      <alignment horizontal="center" vertical="center" wrapText="1"/>
    </xf>
    <xf numFmtId="0" fontId="262" fillId="52" borderId="71" xfId="0" applyFont="1" applyFill="1" applyBorder="1" applyAlignment="1">
      <alignment horizontal="center" vertical="center" wrapText="1"/>
    </xf>
    <xf numFmtId="0" fontId="295" fillId="0" borderId="0" xfId="0" applyFont="1" applyAlignment="1">
      <alignment horizontal="center" vertical="center"/>
    </xf>
    <xf numFmtId="0" fontId="244" fillId="0" borderId="0" xfId="0" applyNumberFormat="1" applyFont="1" applyFill="1" applyAlignment="1">
      <alignment horizontal="center" vertical="center"/>
    </xf>
    <xf numFmtId="0" fontId="244" fillId="0" borderId="0" xfId="0" applyFont="1" applyFill="1" applyAlignment="1">
      <alignment horizontal="center" vertical="center"/>
    </xf>
    <xf numFmtId="0" fontId="239" fillId="0" borderId="0" xfId="0" applyFont="1" applyAlignment="1">
      <alignment horizontal="center" vertical="center"/>
    </xf>
    <xf numFmtId="0" fontId="254" fillId="0" borderId="0" xfId="0" applyFont="1" applyAlignment="1">
      <alignment horizontal="center" vertical="center"/>
    </xf>
    <xf numFmtId="0" fontId="295" fillId="0" borderId="0" xfId="0" applyFont="1" applyBorder="1" applyAlignment="1">
      <alignment horizontal="right" vertical="center"/>
    </xf>
    <xf numFmtId="0" fontId="74" fillId="0" borderId="56" xfId="1312" applyFont="1" applyBorder="1" applyAlignment="1">
      <alignment horizontal="center" vertical="center"/>
    </xf>
    <xf numFmtId="0" fontId="74" fillId="0" borderId="57" xfId="1312" applyFont="1" applyBorder="1" applyAlignment="1">
      <alignment horizontal="center" vertical="center"/>
    </xf>
    <xf numFmtId="0" fontId="74" fillId="0" borderId="59" xfId="1312" applyFont="1" applyBorder="1" applyAlignment="1">
      <alignment horizontal="center" vertical="center"/>
    </xf>
    <xf numFmtId="0" fontId="74" fillId="0" borderId="60" xfId="1312" applyFont="1" applyBorder="1" applyAlignment="1">
      <alignment horizontal="center" vertical="top" wrapText="1"/>
    </xf>
    <xf numFmtId="0" fontId="74" fillId="0" borderId="50" xfId="1312" applyFont="1" applyBorder="1" applyAlignment="1">
      <alignment horizontal="center" vertical="top" wrapText="1"/>
    </xf>
    <xf numFmtId="0" fontId="74" fillId="0" borderId="61" xfId="1312" applyFont="1" applyBorder="1" applyAlignment="1">
      <alignment horizontal="center" vertical="top" wrapText="1"/>
    </xf>
    <xf numFmtId="0" fontId="74" fillId="0" borderId="26" xfId="1312" applyFont="1" applyBorder="1" applyAlignment="1">
      <alignment horizontal="center" vertical="center"/>
    </xf>
    <xf numFmtId="0" fontId="74" fillId="0" borderId="24" xfId="1312" applyFont="1" applyBorder="1" applyAlignment="1">
      <alignment horizontal="center" vertical="center"/>
    </xf>
    <xf numFmtId="0" fontId="74" fillId="0" borderId="54" xfId="1312" applyFont="1" applyBorder="1" applyAlignment="1">
      <alignment horizontal="center" vertical="center"/>
    </xf>
    <xf numFmtId="0" fontId="74" fillId="0" borderId="27" xfId="1312" applyFont="1" applyBorder="1" applyAlignment="1">
      <alignment horizontal="center" vertical="top" wrapText="1"/>
    </xf>
    <xf numFmtId="0" fontId="74" fillId="0" borderId="14" xfId="1312" applyFont="1" applyBorder="1" applyAlignment="1">
      <alignment horizontal="center" vertical="top" wrapText="1"/>
    </xf>
    <xf numFmtId="0" fontId="74" fillId="0" borderId="62" xfId="1312" applyFont="1" applyBorder="1" applyAlignment="1">
      <alignment horizontal="center" vertical="center" wrapText="1"/>
    </xf>
    <xf numFmtId="0" fontId="74" fillId="0" borderId="63" xfId="1312" applyFont="1" applyBorder="1" applyAlignment="1">
      <alignment horizontal="center" vertical="center" wrapText="1"/>
    </xf>
    <xf numFmtId="0" fontId="74" fillId="0" borderId="26" xfId="1312" applyFont="1" applyBorder="1" applyAlignment="1">
      <alignment horizontal="center"/>
    </xf>
    <xf numFmtId="0" fontId="74" fillId="0" borderId="54" xfId="1312" applyFont="1" applyBorder="1" applyAlignment="1">
      <alignment horizontal="center"/>
    </xf>
    <xf numFmtId="0" fontId="218" fillId="0" borderId="25" xfId="1312" applyFont="1" applyBorder="1" applyAlignment="1">
      <alignment horizontal="center"/>
    </xf>
    <xf numFmtId="0" fontId="74" fillId="0" borderId="58" xfId="1312" applyFont="1" applyBorder="1" applyAlignment="1">
      <alignment horizontal="center" vertical="center"/>
    </xf>
    <xf numFmtId="0" fontId="218" fillId="0" borderId="25" xfId="1312" applyFont="1" applyBorder="1" applyAlignment="1">
      <alignment horizontal="right"/>
    </xf>
    <xf numFmtId="0" fontId="74" fillId="0" borderId="64" xfId="1312" applyFont="1" applyBorder="1" applyAlignment="1">
      <alignment horizontal="center" vertical="center"/>
    </xf>
    <xf numFmtId="0" fontId="74" fillId="0" borderId="46" xfId="1312" applyFont="1" applyBorder="1" applyAlignment="1">
      <alignment horizontal="center" vertical="center"/>
    </xf>
    <xf numFmtId="0" fontId="74" fillId="0" borderId="65" xfId="1312" applyFont="1" applyBorder="1" applyAlignment="1">
      <alignment horizontal="center" vertical="center"/>
    </xf>
    <xf numFmtId="0" fontId="74" fillId="0" borderId="47" xfId="1312" applyFont="1" applyBorder="1" applyAlignment="1">
      <alignment horizontal="center" vertical="center"/>
    </xf>
    <xf numFmtId="0" fontId="74" fillId="0" borderId="14" xfId="1312" applyFont="1" applyBorder="1" applyAlignment="1">
      <alignment horizontal="center" vertical="center"/>
    </xf>
    <xf numFmtId="0" fontId="74" fillId="0" borderId="11" xfId="1312" applyFont="1" applyBorder="1" applyAlignment="1">
      <alignment horizontal="center" vertical="center"/>
    </xf>
    <xf numFmtId="0" fontId="78" fillId="0" borderId="8" xfId="0" applyFont="1" applyFill="1" applyBorder="1" applyAlignment="1">
      <alignment horizontal="right" vertical="center" wrapText="1"/>
    </xf>
    <xf numFmtId="0" fontId="72" fillId="0" borderId="0" xfId="0" applyFont="1" applyFill="1" applyAlignment="1">
      <alignment horizontal="center" vertical="center" wrapText="1"/>
    </xf>
    <xf numFmtId="0" fontId="34" fillId="0" borderId="0" xfId="0" applyFont="1" applyFill="1" applyAlignment="1">
      <alignment horizontal="center" vertical="center" wrapText="1"/>
    </xf>
    <xf numFmtId="179" fontId="70" fillId="0" borderId="14" xfId="906" applyNumberFormat="1" applyFont="1" applyFill="1" applyBorder="1" applyAlignment="1">
      <alignment horizontal="center" vertical="center" wrapText="1"/>
    </xf>
    <xf numFmtId="179" fontId="70" fillId="0" borderId="11" xfId="906" applyNumberFormat="1" applyFont="1" applyFill="1" applyBorder="1" applyAlignment="1">
      <alignment horizontal="center" vertical="center" wrapText="1"/>
    </xf>
    <xf numFmtId="0" fontId="70" fillId="0" borderId="27"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0" fillId="0" borderId="11" xfId="0" applyFont="1" applyFill="1" applyBorder="1" applyAlignment="1">
      <alignment horizontal="center" vertical="center" wrapText="1"/>
    </xf>
    <xf numFmtId="0" fontId="73" fillId="0" borderId="0" xfId="0" applyFont="1" applyFill="1" applyAlignment="1">
      <alignment horizontal="center" vertical="center" wrapText="1"/>
    </xf>
    <xf numFmtId="179" fontId="70" fillId="0" borderId="27" xfId="906" applyNumberFormat="1" applyFont="1" applyFill="1" applyBorder="1" applyAlignment="1">
      <alignment horizontal="center" vertical="center" wrapText="1"/>
    </xf>
    <xf numFmtId="179" fontId="70" fillId="0" borderId="26" xfId="906" applyNumberFormat="1" applyFont="1" applyFill="1" applyBorder="1" applyAlignment="1">
      <alignment horizontal="center" vertical="center" wrapText="1"/>
    </xf>
    <xf numFmtId="179" fontId="70" fillId="0" borderId="54" xfId="906" applyNumberFormat="1" applyFont="1" applyFill="1" applyBorder="1" applyAlignment="1">
      <alignment horizontal="center" vertical="center" wrapText="1"/>
    </xf>
    <xf numFmtId="179" fontId="70" fillId="0" borderId="24" xfId="906" applyNumberFormat="1" applyFont="1" applyFill="1" applyBorder="1" applyAlignment="1">
      <alignment horizontal="center" vertical="center" wrapText="1"/>
    </xf>
    <xf numFmtId="179" fontId="70" fillId="0" borderId="60" xfId="906" applyNumberFormat="1" applyFont="1" applyFill="1" applyBorder="1" applyAlignment="1">
      <alignment horizontal="center" vertical="center" wrapText="1"/>
    </xf>
    <xf numFmtId="179" fontId="70" fillId="0" borderId="66" xfId="906" applyNumberFormat="1" applyFont="1" applyFill="1" applyBorder="1" applyAlignment="1">
      <alignment horizontal="center" vertical="center" wrapText="1"/>
    </xf>
    <xf numFmtId="179" fontId="70" fillId="0" borderId="67" xfId="906" applyNumberFormat="1" applyFont="1" applyFill="1" applyBorder="1" applyAlignment="1">
      <alignment horizontal="center" vertical="center" wrapText="1"/>
    </xf>
    <xf numFmtId="0" fontId="70" fillId="0" borderId="0" xfId="0" applyFont="1" applyFill="1" applyAlignment="1">
      <alignment horizontal="center"/>
    </xf>
    <xf numFmtId="0" fontId="71" fillId="0" borderId="0" xfId="0" applyFont="1" applyFill="1" applyAlignment="1">
      <alignment horizontal="center"/>
    </xf>
    <xf numFmtId="0" fontId="218" fillId="0" borderId="0" xfId="0" applyFont="1" applyFill="1" applyAlignment="1">
      <alignment horizontal="center" vertical="center" wrapText="1"/>
    </xf>
    <xf numFmtId="0" fontId="70" fillId="0" borderId="1" xfId="1326" applyFont="1" applyBorder="1" applyAlignment="1">
      <alignment horizontal="center" vertical="center"/>
    </xf>
    <xf numFmtId="0" fontId="9" fillId="0" borderId="0" xfId="1326" applyFont="1" applyAlignment="1">
      <alignment horizontal="center"/>
    </xf>
    <xf numFmtId="0" fontId="70" fillId="0" borderId="1" xfId="1326" applyFont="1" applyBorder="1" applyAlignment="1">
      <alignment horizontal="center" vertical="center" wrapText="1"/>
    </xf>
    <xf numFmtId="0" fontId="73" fillId="0" borderId="0" xfId="1326" applyFont="1" applyAlignment="1">
      <alignment horizontal="right"/>
    </xf>
    <xf numFmtId="0" fontId="256" fillId="0" borderId="0" xfId="1313" applyFont="1" applyAlignment="1">
      <alignment horizontal="center"/>
    </xf>
    <xf numFmtId="0" fontId="254" fillId="0" borderId="4" xfId="1313" applyFont="1" applyBorder="1" applyAlignment="1">
      <alignment horizontal="center" vertical="center"/>
    </xf>
    <xf numFmtId="0" fontId="252" fillId="0" borderId="31" xfId="1313" applyFont="1" applyBorder="1" applyAlignment="1">
      <alignment horizontal="center" vertical="center" wrapText="1"/>
    </xf>
    <xf numFmtId="0" fontId="252" fillId="0" borderId="4" xfId="1313" applyFont="1" applyBorder="1" applyAlignment="1">
      <alignment horizontal="center" vertical="center" wrapText="1"/>
    </xf>
    <xf numFmtId="0" fontId="254" fillId="0" borderId="4" xfId="1313" applyFont="1" applyBorder="1" applyAlignment="1">
      <alignment horizontal="center" vertical="center" wrapText="1"/>
    </xf>
    <xf numFmtId="0" fontId="254" fillId="0" borderId="31" xfId="1313" applyFont="1" applyBorder="1" applyAlignment="1">
      <alignment horizontal="center" vertical="center"/>
    </xf>
    <xf numFmtId="0" fontId="252" fillId="0" borderId="49" xfId="1313" applyFont="1" applyBorder="1" applyAlignment="1">
      <alignment horizontal="center" vertical="center" wrapText="1"/>
    </xf>
    <xf numFmtId="0" fontId="252" fillId="0" borderId="68" xfId="1313" applyFont="1" applyBorder="1" applyAlignment="1">
      <alignment horizontal="center" vertical="center" wrapText="1"/>
    </xf>
    <xf numFmtId="0" fontId="252" fillId="0" borderId="1" xfId="1313" applyFont="1" applyBorder="1" applyAlignment="1">
      <alignment horizontal="center" vertical="center" wrapText="1"/>
    </xf>
    <xf numFmtId="0" fontId="252" fillId="0" borderId="60" xfId="1313" applyFont="1" applyBorder="1" applyAlignment="1">
      <alignment horizontal="center" vertical="center" wrapText="1"/>
    </xf>
    <xf numFmtId="0" fontId="252" fillId="0" borderId="50" xfId="1313" applyFont="1" applyBorder="1" applyAlignment="1">
      <alignment horizontal="center" vertical="center" wrapText="1"/>
    </xf>
    <xf numFmtId="0" fontId="252" fillId="0" borderId="61" xfId="1313" applyFont="1" applyBorder="1" applyAlignment="1">
      <alignment horizontal="center" vertical="center" wrapText="1"/>
    </xf>
    <xf numFmtId="0" fontId="252" fillId="0" borderId="14" xfId="1313" applyFont="1" applyBorder="1" applyAlignment="1">
      <alignment horizontal="center" vertical="center" wrapText="1"/>
    </xf>
    <xf numFmtId="0" fontId="252" fillId="0" borderId="22" xfId="1313" applyFont="1" applyBorder="1" applyAlignment="1">
      <alignment horizontal="center" vertical="center" wrapText="1"/>
    </xf>
    <xf numFmtId="0" fontId="253" fillId="0" borderId="0" xfId="1313" applyFont="1" applyAlignment="1">
      <alignment horizontal="right"/>
    </xf>
    <xf numFmtId="0" fontId="256" fillId="0" borderId="0" xfId="1313" applyFont="1" applyBorder="1" applyAlignment="1">
      <alignment horizontal="right"/>
    </xf>
    <xf numFmtId="0" fontId="252" fillId="0" borderId="0" xfId="1313" applyFont="1" applyAlignment="1">
      <alignment horizontal="center"/>
    </xf>
    <xf numFmtId="0" fontId="258" fillId="0" borderId="0" xfId="1359" applyFont="1" applyAlignment="1">
      <alignment horizontal="center" vertical="center" wrapText="1"/>
    </xf>
    <xf numFmtId="0" fontId="218" fillId="0" borderId="0" xfId="1326" applyFont="1" applyAlignment="1">
      <alignment horizontal="center"/>
    </xf>
    <xf numFmtId="0" fontId="259" fillId="0" borderId="64" xfId="1359" applyFont="1" applyBorder="1" applyAlignment="1">
      <alignment horizontal="center" vertical="center" wrapText="1"/>
    </xf>
    <xf numFmtId="0" fontId="259" fillId="0" borderId="46" xfId="1359" applyFont="1" applyBorder="1" applyAlignment="1">
      <alignment horizontal="center" vertical="center" wrapText="1"/>
    </xf>
    <xf numFmtId="0" fontId="259" fillId="0" borderId="65" xfId="1359" applyFont="1" applyBorder="1" applyAlignment="1">
      <alignment horizontal="center" vertical="center" wrapText="1"/>
    </xf>
    <xf numFmtId="0" fontId="259" fillId="0" borderId="69" xfId="1359" applyFont="1" applyBorder="1" applyAlignment="1">
      <alignment horizontal="center" vertical="center"/>
    </xf>
    <xf numFmtId="0" fontId="259" fillId="0" borderId="1" xfId="1359" applyFont="1" applyBorder="1" applyAlignment="1">
      <alignment horizontal="center" vertical="center"/>
    </xf>
    <xf numFmtId="0" fontId="259" fillId="0" borderId="0" xfId="1359" applyFont="1" applyBorder="1" applyAlignment="1">
      <alignment horizontal="center" vertical="center" wrapText="1"/>
    </xf>
    <xf numFmtId="176" fontId="219" fillId="0" borderId="26" xfId="943" applyNumberFormat="1" applyFont="1" applyBorder="1" applyAlignment="1">
      <alignment horizontal="center" vertical="center" wrapText="1"/>
    </xf>
    <xf numFmtId="176" fontId="219" fillId="0" borderId="54" xfId="943" applyNumberFormat="1" applyFont="1" applyBorder="1" applyAlignment="1">
      <alignment horizontal="center" vertical="center" wrapText="1"/>
    </xf>
    <xf numFmtId="176" fontId="219" fillId="0" borderId="1" xfId="943" applyNumberFormat="1" applyFont="1" applyBorder="1" applyAlignment="1">
      <alignment horizontal="center" vertical="center" wrapText="1"/>
    </xf>
    <xf numFmtId="176" fontId="219" fillId="0" borderId="69" xfId="943" applyNumberFormat="1" applyFont="1" applyBorder="1" applyAlignment="1">
      <alignment horizontal="center" vertical="center" wrapText="1"/>
    </xf>
    <xf numFmtId="176" fontId="259" fillId="0" borderId="69" xfId="943" applyNumberFormat="1" applyFont="1" applyBorder="1" applyAlignment="1">
      <alignment horizontal="center" vertical="center" wrapText="1"/>
    </xf>
    <xf numFmtId="176" fontId="259" fillId="0" borderId="37" xfId="943" applyNumberFormat="1" applyFont="1" applyBorder="1" applyAlignment="1">
      <alignment horizontal="center" vertical="center" wrapText="1"/>
    </xf>
    <xf numFmtId="176" fontId="259" fillId="0" borderId="53" xfId="943" applyNumberFormat="1" applyFont="1" applyBorder="1" applyAlignment="1">
      <alignment horizontal="center" vertical="center" wrapText="1"/>
    </xf>
    <xf numFmtId="176" fontId="219" fillId="0" borderId="27" xfId="943" applyNumberFormat="1" applyFont="1" applyBorder="1" applyAlignment="1">
      <alignment horizontal="center" vertical="center" wrapText="1"/>
    </xf>
    <xf numFmtId="176" fontId="219" fillId="0" borderId="11" xfId="943" applyNumberFormat="1" applyFont="1" applyBorder="1" applyAlignment="1">
      <alignment horizontal="center" vertical="center" wrapText="1"/>
    </xf>
    <xf numFmtId="0" fontId="302" fillId="0" borderId="0" xfId="1326" applyFont="1" applyAlignment="1">
      <alignment horizontal="center"/>
    </xf>
    <xf numFmtId="0" fontId="303" fillId="0" borderId="0" xfId="1326" applyFont="1" applyAlignment="1">
      <alignment horizontal="center"/>
    </xf>
    <xf numFmtId="0" fontId="222" fillId="50" borderId="0" xfId="1315" applyFont="1" applyFill="1" applyAlignment="1">
      <alignment horizontal="center" vertical="center" wrapText="1"/>
    </xf>
    <xf numFmtId="0" fontId="222" fillId="50" borderId="0" xfId="1315" applyFont="1" applyFill="1" applyAlignment="1">
      <alignment horizontal="center" vertical="center"/>
    </xf>
    <xf numFmtId="0" fontId="272" fillId="50" borderId="0" xfId="1315" applyFont="1" applyFill="1" applyAlignment="1">
      <alignment horizontal="center" vertical="center" wrapText="1"/>
    </xf>
    <xf numFmtId="0" fontId="224" fillId="50" borderId="0" xfId="1315" applyFont="1" applyFill="1" applyAlignment="1">
      <alignment horizontal="center" vertical="center"/>
    </xf>
    <xf numFmtId="0" fontId="222" fillId="50" borderId="1" xfId="1315" applyFont="1" applyFill="1" applyBorder="1" applyAlignment="1">
      <alignment horizontal="center" vertical="center" wrapText="1"/>
    </xf>
    <xf numFmtId="0" fontId="222" fillId="50" borderId="27" xfId="1315" applyFont="1" applyFill="1" applyBorder="1" applyAlignment="1">
      <alignment horizontal="center" vertical="center" wrapText="1"/>
    </xf>
    <xf numFmtId="0" fontId="222" fillId="50" borderId="11" xfId="1315" applyFont="1" applyFill="1" applyBorder="1" applyAlignment="1">
      <alignment horizontal="center" vertical="center" wrapText="1"/>
    </xf>
    <xf numFmtId="217" fontId="70" fillId="50" borderId="1" xfId="974" applyNumberFormat="1" applyFont="1" applyFill="1" applyBorder="1" applyAlignment="1">
      <alignment horizontal="center" vertical="center" wrapText="1"/>
    </xf>
    <xf numFmtId="217" fontId="70" fillId="50" borderId="27" xfId="974" applyNumberFormat="1" applyFont="1" applyFill="1" applyBorder="1" applyAlignment="1">
      <alignment horizontal="center" vertical="center" wrapText="1"/>
    </xf>
    <xf numFmtId="217" fontId="70" fillId="50" borderId="11" xfId="974" applyNumberFormat="1" applyFont="1" applyFill="1" applyBorder="1" applyAlignment="1">
      <alignment horizontal="center" vertical="center" wrapText="1"/>
    </xf>
    <xf numFmtId="217" fontId="222" fillId="50" borderId="27" xfId="974" applyNumberFormat="1" applyFont="1" applyFill="1" applyBorder="1" applyAlignment="1">
      <alignment horizontal="center" vertical="center" wrapText="1"/>
    </xf>
    <xf numFmtId="217" fontId="222" fillId="50" borderId="11" xfId="974" applyNumberFormat="1" applyFont="1" applyFill="1" applyBorder="1" applyAlignment="1">
      <alignment horizontal="center" vertical="center" wrapText="1"/>
    </xf>
    <xf numFmtId="0" fontId="306" fillId="0" borderId="0" xfId="0" applyNumberFormat="1" applyFont="1" applyFill="1" applyAlignment="1">
      <alignment horizontal="center" vertical="center"/>
    </xf>
    <xf numFmtId="0" fontId="306" fillId="0" borderId="0" xfId="0" applyFont="1" applyFill="1" applyAlignment="1">
      <alignment horizontal="center" vertical="center"/>
    </xf>
    <xf numFmtId="0" fontId="306" fillId="0" borderId="0" xfId="0" applyNumberFormat="1" applyFont="1" applyFill="1" applyAlignment="1">
      <alignment horizontal="left" vertical="center"/>
    </xf>
    <xf numFmtId="0" fontId="306" fillId="0" borderId="0" xfId="0" applyFont="1" applyFill="1" applyAlignment="1">
      <alignment horizontal="left" vertical="center"/>
    </xf>
    <xf numFmtId="0" fontId="309" fillId="0" borderId="0" xfId="0" applyFont="1" applyFill="1" applyAlignment="1">
      <alignment vertical="center"/>
    </xf>
    <xf numFmtId="0" fontId="309" fillId="0" borderId="0" xfId="0" applyNumberFormat="1" applyFont="1" applyFill="1" applyAlignment="1">
      <alignment horizontal="right" vertical="center"/>
    </xf>
    <xf numFmtId="0" fontId="309" fillId="0" borderId="0" xfId="0" applyFont="1" applyFill="1" applyAlignment="1">
      <alignment horizontal="right" vertical="center"/>
    </xf>
    <xf numFmtId="0" fontId="310" fillId="0" borderId="0" xfId="0" applyFont="1" applyFill="1" applyAlignment="1">
      <alignment vertical="center"/>
    </xf>
    <xf numFmtId="0" fontId="309" fillId="0" borderId="0" xfId="0" applyFont="1" applyFill="1" applyAlignment="1">
      <alignment horizontal="center" vertical="center"/>
    </xf>
    <xf numFmtId="179" fontId="309" fillId="0" borderId="0" xfId="906" applyNumberFormat="1" applyFont="1" applyFill="1" applyAlignment="1">
      <alignment vertical="center"/>
    </xf>
    <xf numFmtId="0" fontId="311" fillId="0" borderId="0" xfId="0" applyFont="1" applyFill="1" applyAlignment="1">
      <alignment horizontal="center" vertical="center"/>
    </xf>
    <xf numFmtId="0" fontId="306" fillId="0" borderId="0" xfId="0" applyFont="1" applyFill="1" applyAlignment="1">
      <alignment horizontal="center" vertical="center"/>
    </xf>
    <xf numFmtId="179" fontId="306" fillId="0" borderId="0" xfId="906" applyNumberFormat="1" applyFont="1" applyFill="1" applyAlignment="1">
      <alignment horizontal="center" vertical="center"/>
    </xf>
    <xf numFmtId="0" fontId="306" fillId="0" borderId="1" xfId="0" applyFont="1" applyFill="1" applyBorder="1" applyAlignment="1">
      <alignment horizontal="center" vertical="center" wrapText="1"/>
    </xf>
    <xf numFmtId="0" fontId="306" fillId="0" borderId="1" xfId="0" applyNumberFormat="1" applyFont="1" applyFill="1" applyBorder="1" applyAlignment="1">
      <alignment horizontal="center" vertical="center" wrapText="1"/>
    </xf>
    <xf numFmtId="179" fontId="306" fillId="0" borderId="1" xfId="906" applyNumberFormat="1" applyFont="1" applyFill="1" applyBorder="1" applyAlignment="1">
      <alignment horizontal="center" vertical="center" wrapText="1"/>
    </xf>
    <xf numFmtId="0" fontId="306" fillId="0" borderId="4" xfId="0" applyFont="1" applyFill="1" applyBorder="1" applyAlignment="1">
      <alignment horizontal="center" vertical="center"/>
    </xf>
    <xf numFmtId="0" fontId="306" fillId="0" borderId="4" xfId="0" applyNumberFormat="1" applyFont="1" applyFill="1" applyBorder="1" applyAlignment="1">
      <alignment vertical="center"/>
    </xf>
    <xf numFmtId="3" fontId="306" fillId="0" borderId="4" xfId="0" applyNumberFormat="1" applyFont="1" applyFill="1" applyBorder="1" applyAlignment="1">
      <alignment vertical="center"/>
    </xf>
    <xf numFmtId="179" fontId="306" fillId="0" borderId="4" xfId="906" applyNumberFormat="1" applyFont="1" applyFill="1" applyBorder="1" applyAlignment="1">
      <alignment vertical="center"/>
    </xf>
    <xf numFmtId="4" fontId="306" fillId="0" borderId="4" xfId="0" applyNumberFormat="1" applyFont="1" applyFill="1" applyBorder="1" applyAlignment="1">
      <alignment vertical="center"/>
    </xf>
    <xf numFmtId="4" fontId="310" fillId="0" borderId="0" xfId="0" applyNumberFormat="1" applyFont="1" applyFill="1" applyAlignment="1">
      <alignment vertical="center"/>
    </xf>
    <xf numFmtId="179" fontId="309" fillId="0" borderId="0" xfId="0" applyNumberFormat="1" applyFont="1" applyFill="1" applyAlignment="1">
      <alignment vertical="center"/>
    </xf>
    <xf numFmtId="0" fontId="309" fillId="0" borderId="4" xfId="0" applyFont="1" applyFill="1" applyBorder="1" applyAlignment="1">
      <alignment horizontal="center" vertical="center"/>
    </xf>
    <xf numFmtId="0" fontId="309" fillId="0" borderId="4" xfId="0" applyNumberFormat="1" applyFont="1" applyFill="1" applyBorder="1" applyAlignment="1">
      <alignment vertical="center"/>
    </xf>
    <xf numFmtId="3" fontId="309" fillId="0" borderId="4" xfId="0" applyNumberFormat="1" applyFont="1" applyFill="1" applyBorder="1" applyAlignment="1">
      <alignment vertical="center"/>
    </xf>
    <xf numFmtId="179" fontId="309" fillId="0" borderId="4" xfId="906" applyNumberFormat="1" applyFont="1" applyFill="1" applyBorder="1" applyAlignment="1">
      <alignment vertical="center"/>
    </xf>
    <xf numFmtId="4" fontId="309" fillId="0" borderId="4" xfId="0" applyNumberFormat="1" applyFont="1" applyFill="1" applyBorder="1" applyAlignment="1">
      <alignment vertical="center"/>
    </xf>
    <xf numFmtId="0" fontId="311" fillId="0" borderId="4" xfId="0" applyFont="1" applyFill="1" applyBorder="1" applyAlignment="1">
      <alignment horizontal="center" vertical="center"/>
    </xf>
    <xf numFmtId="0" fontId="311" fillId="0" borderId="4" xfId="0" applyNumberFormat="1" applyFont="1" applyFill="1" applyBorder="1" applyAlignment="1">
      <alignment vertical="center"/>
    </xf>
    <xf numFmtId="179" fontId="311" fillId="0" borderId="4" xfId="906" applyNumberFormat="1" applyFont="1" applyFill="1" applyBorder="1" applyAlignment="1">
      <alignment vertical="center"/>
    </xf>
    <xf numFmtId="4" fontId="311" fillId="0" borderId="4" xfId="0" applyNumberFormat="1" applyFont="1" applyFill="1" applyBorder="1" applyAlignment="1">
      <alignment vertical="center"/>
    </xf>
    <xf numFmtId="170" fontId="310" fillId="0" borderId="0" xfId="906" applyFont="1" applyFill="1" applyAlignment="1">
      <alignment vertical="center"/>
    </xf>
    <xf numFmtId="0" fontId="311" fillId="0" borderId="4" xfId="0" quotePrefix="1" applyNumberFormat="1" applyFont="1" applyFill="1" applyBorder="1" applyAlignment="1">
      <alignment horizontal="center" vertical="center" wrapText="1"/>
    </xf>
    <xf numFmtId="3" fontId="311" fillId="0" borderId="4" xfId="0" applyNumberFormat="1" applyFont="1" applyFill="1" applyBorder="1" applyAlignment="1">
      <alignment vertical="center"/>
    </xf>
    <xf numFmtId="3" fontId="310" fillId="0" borderId="0" xfId="0" applyNumberFormat="1" applyFont="1" applyFill="1" applyAlignment="1">
      <alignment vertical="center"/>
    </xf>
    <xf numFmtId="170" fontId="313" fillId="0" borderId="0" xfId="906" applyFont="1" applyFill="1" applyAlignment="1">
      <alignment vertical="center"/>
    </xf>
    <xf numFmtId="179" fontId="306" fillId="0" borderId="0" xfId="0" applyNumberFormat="1" applyFont="1" applyFill="1" applyAlignment="1">
      <alignment vertical="center"/>
    </xf>
    <xf numFmtId="0" fontId="306" fillId="0" borderId="0" xfId="0" applyFont="1" applyFill="1" applyAlignment="1">
      <alignment vertical="center"/>
    </xf>
    <xf numFmtId="170" fontId="310" fillId="0" borderId="0" xfId="0" applyNumberFormat="1" applyFont="1" applyFill="1" applyAlignment="1">
      <alignment vertical="center"/>
    </xf>
    <xf numFmtId="0" fontId="309" fillId="0" borderId="51" xfId="0" applyFont="1" applyFill="1" applyBorder="1" applyAlignment="1">
      <alignment horizontal="center" vertical="center" wrapText="1"/>
    </xf>
    <xf numFmtId="0" fontId="309" fillId="0" borderId="51" xfId="0" applyNumberFormat="1" applyFont="1" applyFill="1" applyBorder="1" applyAlignment="1">
      <alignment horizontal="left" vertical="center" wrapText="1"/>
    </xf>
    <xf numFmtId="3" fontId="309" fillId="0" borderId="51" xfId="0" applyNumberFormat="1" applyFont="1" applyFill="1" applyBorder="1" applyAlignment="1">
      <alignment vertical="center"/>
    </xf>
    <xf numFmtId="179" fontId="309" fillId="0" borderId="51" xfId="906" applyNumberFormat="1" applyFont="1" applyFill="1" applyBorder="1" applyAlignment="1">
      <alignment vertical="center"/>
    </xf>
    <xf numFmtId="4" fontId="309" fillId="0" borderId="51" xfId="0" applyNumberFormat="1" applyFont="1" applyFill="1" applyBorder="1" applyAlignment="1">
      <alignment vertical="center"/>
    </xf>
    <xf numFmtId="0" fontId="309" fillId="52" borderId="75" xfId="0" applyFont="1" applyFill="1" applyBorder="1"/>
    <xf numFmtId="0" fontId="309" fillId="52" borderId="76" xfId="0" applyFont="1" applyFill="1" applyBorder="1"/>
    <xf numFmtId="0" fontId="310" fillId="52" borderId="77" xfId="0" applyFont="1" applyFill="1" applyBorder="1"/>
    <xf numFmtId="0" fontId="309" fillId="0" borderId="4" xfId="0" applyNumberFormat="1" applyFont="1" applyFill="1" applyBorder="1" applyAlignment="1">
      <alignment vertical="center" wrapText="1"/>
    </xf>
    <xf numFmtId="0" fontId="309" fillId="0" borderId="48" xfId="0" applyFont="1" applyFill="1" applyBorder="1" applyAlignment="1">
      <alignment vertical="center"/>
    </xf>
    <xf numFmtId="179" fontId="309" fillId="0" borderId="48" xfId="906" applyNumberFormat="1" applyFont="1" applyFill="1" applyBorder="1" applyAlignment="1">
      <alignment vertical="center"/>
    </xf>
    <xf numFmtId="0" fontId="312" fillId="0" borderId="8" xfId="0" applyNumberFormat="1" applyFont="1" applyFill="1" applyBorder="1" applyAlignment="1">
      <alignment horizontal="right" vertical="center"/>
    </xf>
    <xf numFmtId="0" fontId="311" fillId="0" borderId="0" xfId="0" applyFont="1" applyFill="1" applyAlignment="1">
      <alignment horizontal="center" vertical="center" wrapText="1"/>
    </xf>
    <xf numFmtId="0" fontId="314" fillId="0" borderId="0" xfId="1362" applyFont="1"/>
    <xf numFmtId="0" fontId="304" fillId="0" borderId="0" xfId="1362" applyFont="1"/>
    <xf numFmtId="217" fontId="304" fillId="0" borderId="0" xfId="1025" applyNumberFormat="1" applyFont="1"/>
    <xf numFmtId="217" fontId="314" fillId="0" borderId="0" xfId="1025" applyNumberFormat="1" applyFont="1"/>
    <xf numFmtId="0" fontId="305" fillId="0" borderId="0" xfId="1362" applyFont="1"/>
    <xf numFmtId="217" fontId="305" fillId="0" borderId="0" xfId="1362" applyNumberFormat="1" applyFont="1"/>
    <xf numFmtId="0" fontId="314" fillId="0" borderId="0" xfId="1362" applyFont="1" applyAlignment="1">
      <alignment horizontal="center"/>
    </xf>
    <xf numFmtId="0" fontId="315" fillId="0" borderId="0" xfId="1362" applyFont="1" applyAlignment="1">
      <alignment horizontal="center" vertical="center"/>
    </xf>
    <xf numFmtId="0" fontId="315" fillId="0" borderId="0" xfId="1362" applyFont="1" applyAlignment="1">
      <alignment horizontal="right" vertical="center"/>
    </xf>
    <xf numFmtId="217" fontId="304" fillId="0" borderId="0" xfId="1362" applyNumberFormat="1" applyFont="1"/>
    <xf numFmtId="0" fontId="314" fillId="53" borderId="1" xfId="1362" applyFont="1" applyFill="1" applyBorder="1" applyAlignment="1">
      <alignment horizontal="center" vertical="center" wrapText="1"/>
    </xf>
    <xf numFmtId="217" fontId="314" fillId="53" borderId="1" xfId="1025" applyNumberFormat="1" applyFont="1" applyFill="1" applyBorder="1" applyAlignment="1">
      <alignment horizontal="center" vertical="center" wrapText="1"/>
    </xf>
    <xf numFmtId="217" fontId="314" fillId="53" borderId="1" xfId="1025" applyNumberFormat="1" applyFont="1" applyFill="1" applyBorder="1" applyAlignment="1">
      <alignment horizontal="center" vertical="center" wrapText="1"/>
    </xf>
    <xf numFmtId="0" fontId="314" fillId="53" borderId="1" xfId="1362" applyFont="1" applyFill="1" applyBorder="1" applyAlignment="1">
      <alignment horizontal="center" vertical="center" wrapText="1"/>
    </xf>
    <xf numFmtId="0" fontId="314" fillId="51" borderId="1" xfId="1362" applyFont="1" applyFill="1" applyBorder="1" applyAlignment="1">
      <alignment horizontal="center" vertical="center" wrapText="1"/>
    </xf>
    <xf numFmtId="217" fontId="314" fillId="51" borderId="1" xfId="1025" applyNumberFormat="1" applyFont="1" applyFill="1" applyBorder="1" applyAlignment="1">
      <alignment horizontal="center" vertical="center" wrapText="1"/>
    </xf>
    <xf numFmtId="217" fontId="307" fillId="0" borderId="0" xfId="1362" applyNumberFormat="1" applyFont="1" applyAlignment="1">
      <alignment vertical="center"/>
    </xf>
    <xf numFmtId="0" fontId="307" fillId="0" borderId="0" xfId="1362" applyFont="1" applyAlignment="1">
      <alignment vertical="center"/>
    </xf>
    <xf numFmtId="0" fontId="308" fillId="0" borderId="0" xfId="1362" applyFont="1" applyAlignment="1">
      <alignment vertical="center"/>
    </xf>
    <xf numFmtId="0" fontId="314" fillId="0" borderId="22" xfId="1362" applyFont="1" applyBorder="1" applyAlignment="1">
      <alignment horizontal="center" vertical="center" wrapText="1"/>
    </xf>
    <xf numFmtId="217" fontId="314" fillId="0" borderId="22" xfId="1025" applyNumberFormat="1" applyFont="1" applyBorder="1" applyAlignment="1">
      <alignment horizontal="center" vertical="center" wrapText="1"/>
    </xf>
    <xf numFmtId="0" fontId="307" fillId="0" borderId="0" xfId="1362" applyFont="1"/>
    <xf numFmtId="0" fontId="308" fillId="0" borderId="0" xfId="1362" applyFont="1"/>
    <xf numFmtId="0" fontId="314" fillId="0" borderId="4" xfId="1362" applyFont="1" applyBorder="1" applyAlignment="1">
      <alignment horizontal="center" vertical="center" wrapText="1"/>
    </xf>
    <xf numFmtId="0" fontId="314" fillId="0" borderId="4" xfId="1362" applyFont="1" applyBorder="1" applyAlignment="1">
      <alignment vertical="center" wrapText="1"/>
    </xf>
    <xf numFmtId="217" fontId="314" fillId="0" borderId="4" xfId="1025" applyNumberFormat="1" applyFont="1" applyBorder="1" applyAlignment="1">
      <alignment horizontal="center" vertical="center" wrapText="1"/>
    </xf>
    <xf numFmtId="217" fontId="308" fillId="0" borderId="0" xfId="1362" applyNumberFormat="1" applyFont="1"/>
    <xf numFmtId="0" fontId="316" fillId="0" borderId="4" xfId="1362" applyFont="1" applyBorder="1" applyAlignment="1">
      <alignment horizontal="center" vertical="center" wrapText="1"/>
    </xf>
    <xf numFmtId="0" fontId="316" fillId="0" borderId="4" xfId="1362" applyFont="1" applyBorder="1" applyAlignment="1">
      <alignment vertical="center" wrapText="1"/>
    </xf>
    <xf numFmtId="217" fontId="316" fillId="0" borderId="4" xfId="1025" applyNumberFormat="1" applyFont="1" applyBorder="1" applyAlignment="1">
      <alignment horizontal="center" vertical="center" wrapText="1"/>
    </xf>
    <xf numFmtId="0" fontId="315" fillId="0" borderId="4" xfId="1362" applyFont="1" applyBorder="1" applyAlignment="1">
      <alignment vertical="center" wrapText="1"/>
    </xf>
    <xf numFmtId="304" fontId="304" fillId="0" borderId="0" xfId="1362" applyNumberFormat="1" applyFont="1"/>
    <xf numFmtId="217" fontId="307" fillId="0" borderId="0" xfId="1362" applyNumberFormat="1" applyFont="1"/>
    <xf numFmtId="0" fontId="317" fillId="0" borderId="4" xfId="1362" applyFont="1" applyBorder="1" applyAlignment="1">
      <alignment horizontal="center" vertical="center" wrapText="1"/>
    </xf>
    <xf numFmtId="0" fontId="317" fillId="0" borderId="4" xfId="1362" applyFont="1" applyBorder="1" applyAlignment="1">
      <alignment vertical="center" wrapText="1"/>
    </xf>
    <xf numFmtId="217" fontId="317" fillId="0" borderId="4" xfId="1025" applyNumberFormat="1" applyFont="1" applyBorder="1" applyAlignment="1">
      <alignment horizontal="center" vertical="center" wrapText="1"/>
    </xf>
    <xf numFmtId="0" fontId="318" fillId="0" borderId="0" xfId="1362" applyFont="1"/>
    <xf numFmtId="0" fontId="319" fillId="0" borderId="0" xfId="1362" applyFont="1"/>
    <xf numFmtId="0" fontId="315" fillId="0" borderId="4" xfId="1362" applyFont="1" applyBorder="1" applyAlignment="1">
      <alignment horizontal="center" vertical="center" wrapText="1"/>
    </xf>
    <xf numFmtId="0" fontId="314" fillId="0" borderId="48" xfId="1362" applyFont="1" applyBorder="1" applyAlignment="1">
      <alignment horizontal="center" vertical="center" wrapText="1"/>
    </xf>
    <xf numFmtId="0" fontId="314" fillId="0" borderId="48" xfId="1362" applyFont="1" applyBorder="1" applyAlignment="1">
      <alignment vertical="center" wrapText="1"/>
    </xf>
    <xf numFmtId="217" fontId="314" fillId="0" borderId="48" xfId="1025" applyNumberFormat="1" applyFont="1" applyBorder="1" applyAlignment="1">
      <alignment horizontal="center" vertical="center" wrapText="1"/>
    </xf>
    <xf numFmtId="217" fontId="315" fillId="0" borderId="0" xfId="1025" applyNumberFormat="1" applyFont="1" applyAlignment="1">
      <alignment horizontal="center"/>
    </xf>
    <xf numFmtId="0" fontId="315" fillId="0" borderId="0" xfId="1362" applyFont="1" applyAlignment="1">
      <alignment horizontal="center"/>
    </xf>
    <xf numFmtId="0" fontId="314" fillId="0" borderId="0" xfId="1362" applyFont="1" applyAlignment="1"/>
    <xf numFmtId="217" fontId="314" fillId="0" borderId="0" xfId="1025" applyNumberFormat="1" applyFont="1" applyAlignment="1">
      <alignment horizontal="center"/>
    </xf>
    <xf numFmtId="217" fontId="315" fillId="0" borderId="0" xfId="1025" applyNumberFormat="1" applyFont="1"/>
    <xf numFmtId="0" fontId="315" fillId="0" borderId="0" xfId="1362" applyFont="1" applyAlignment="1">
      <alignment horizontal="center"/>
    </xf>
    <xf numFmtId="0" fontId="314" fillId="0" borderId="0" xfId="1362" applyFont="1" applyAlignment="1">
      <alignment horizontal="center"/>
    </xf>
    <xf numFmtId="0" fontId="315" fillId="0" borderId="0" xfId="1362" applyFont="1" applyAlignment="1">
      <alignment vertical="center"/>
    </xf>
    <xf numFmtId="217" fontId="304" fillId="0" borderId="0" xfId="1026" applyNumberFormat="1" applyFont="1"/>
    <xf numFmtId="217" fontId="314" fillId="0" borderId="0" xfId="1026" applyNumberFormat="1" applyFont="1" applyAlignment="1">
      <alignment horizontal="right"/>
    </xf>
    <xf numFmtId="217" fontId="314" fillId="0" borderId="0" xfId="1026" applyNumberFormat="1" applyFont="1"/>
    <xf numFmtId="0" fontId="314" fillId="0" borderId="0" xfId="1362" applyFont="1" applyAlignment="1">
      <alignment horizontal="center" vertical="center"/>
    </xf>
    <xf numFmtId="0" fontId="316" fillId="53" borderId="1" xfId="1362" applyFont="1" applyFill="1" applyBorder="1" applyAlignment="1">
      <alignment horizontal="center" vertical="center" wrapText="1"/>
    </xf>
    <xf numFmtId="217" fontId="314" fillId="53" borderId="1" xfId="1026" applyNumberFormat="1" applyFont="1" applyFill="1" applyBorder="1" applyAlignment="1">
      <alignment horizontal="center" vertical="center" wrapText="1"/>
    </xf>
    <xf numFmtId="217" fontId="314" fillId="53" borderId="1" xfId="1026" applyNumberFormat="1" applyFont="1" applyFill="1" applyBorder="1" applyAlignment="1">
      <alignment horizontal="center" vertical="center" wrapText="1"/>
    </xf>
    <xf numFmtId="217" fontId="304" fillId="0" borderId="0" xfId="1026" applyNumberFormat="1" applyFont="1" applyAlignment="1">
      <alignment vertical="center"/>
    </xf>
    <xf numFmtId="0" fontId="316" fillId="51" borderId="1" xfId="1362" applyFont="1" applyFill="1" applyBorder="1" applyAlignment="1">
      <alignment horizontal="center" vertical="center" wrapText="1"/>
    </xf>
    <xf numFmtId="217" fontId="316" fillId="51" borderId="1" xfId="1026" applyNumberFormat="1" applyFont="1" applyFill="1" applyBorder="1" applyAlignment="1">
      <alignment horizontal="center" vertical="center" wrapText="1"/>
    </xf>
    <xf numFmtId="0" fontId="314" fillId="0" borderId="22" xfId="1362" applyFont="1" applyBorder="1" applyAlignment="1">
      <alignment vertical="center" wrapText="1"/>
    </xf>
    <xf numFmtId="217" fontId="314" fillId="0" borderId="22" xfId="906" applyNumberFormat="1" applyFont="1" applyBorder="1" applyAlignment="1">
      <alignment horizontal="center" vertical="center" wrapText="1"/>
    </xf>
    <xf numFmtId="217" fontId="314" fillId="0" borderId="22" xfId="1026" applyNumberFormat="1" applyFont="1" applyBorder="1" applyAlignment="1">
      <alignment horizontal="center" vertical="center" wrapText="1"/>
    </xf>
    <xf numFmtId="217" fontId="314" fillId="0" borderId="4" xfId="906" applyNumberFormat="1" applyFont="1" applyBorder="1" applyAlignment="1">
      <alignment horizontal="center" vertical="center" wrapText="1"/>
    </xf>
    <xf numFmtId="217" fontId="314" fillId="0" borderId="4" xfId="1026" applyNumberFormat="1" applyFont="1" applyBorder="1" applyAlignment="1">
      <alignment horizontal="center" vertical="center" wrapText="1"/>
    </xf>
    <xf numFmtId="217" fontId="316" fillId="0" borderId="4" xfId="906" applyNumberFormat="1" applyFont="1" applyBorder="1" applyAlignment="1">
      <alignment horizontal="center" vertical="center" wrapText="1"/>
    </xf>
    <xf numFmtId="217" fontId="316" fillId="0" borderId="4" xfId="1026" applyNumberFormat="1" applyFont="1" applyBorder="1" applyAlignment="1">
      <alignment horizontal="center" vertical="center" wrapText="1"/>
    </xf>
    <xf numFmtId="217" fontId="320" fillId="0" borderId="4" xfId="906" applyNumberFormat="1" applyFont="1" applyBorder="1" applyAlignment="1">
      <alignment horizontal="center" vertical="center" wrapText="1"/>
    </xf>
    <xf numFmtId="217" fontId="316" fillId="0" borderId="4" xfId="906" applyNumberFormat="1" applyFont="1" applyBorder="1" applyAlignment="1">
      <alignment horizontal="right" vertical="center" wrapText="1"/>
    </xf>
    <xf numFmtId="0" fontId="315" fillId="0" borderId="4" xfId="1362" applyFont="1" applyBorder="1" applyAlignment="1">
      <alignment horizontal="center" vertical="center" wrapText="1"/>
    </xf>
    <xf numFmtId="217" fontId="316" fillId="0" borderId="22" xfId="906" applyNumberFormat="1" applyFont="1" applyBorder="1" applyAlignment="1">
      <alignment vertical="center" wrapText="1"/>
    </xf>
    <xf numFmtId="217" fontId="316" fillId="0" borderId="22" xfId="1026" applyNumberFormat="1" applyFont="1" applyBorder="1" applyAlignment="1">
      <alignment vertical="center" wrapText="1"/>
    </xf>
    <xf numFmtId="0" fontId="314" fillId="0" borderId="51" xfId="1362" applyFont="1" applyBorder="1" applyAlignment="1">
      <alignment horizontal="center" vertical="center" wrapText="1"/>
    </xf>
    <xf numFmtId="0" fontId="314" fillId="0" borderId="51" xfId="1362" applyFont="1" applyBorder="1" applyAlignment="1">
      <alignment vertical="center" wrapText="1"/>
    </xf>
    <xf numFmtId="217" fontId="314" fillId="0" borderId="51" xfId="906" applyNumberFormat="1" applyFont="1" applyBorder="1" applyAlignment="1">
      <alignment horizontal="center" vertical="center" wrapText="1"/>
    </xf>
    <xf numFmtId="217" fontId="314" fillId="0" borderId="51" xfId="1026" applyNumberFormat="1" applyFont="1" applyBorder="1" applyAlignment="1">
      <alignment horizontal="center" vertical="center" wrapText="1"/>
    </xf>
    <xf numFmtId="0" fontId="316" fillId="0" borderId="1" xfId="1362" applyFont="1" applyBorder="1" applyAlignment="1">
      <alignment horizontal="center" vertical="center" wrapText="1"/>
    </xf>
    <xf numFmtId="0" fontId="314" fillId="0" borderId="1" xfId="1362" applyFont="1" applyBorder="1" applyAlignment="1">
      <alignment horizontal="center" vertical="center" wrapText="1"/>
    </xf>
    <xf numFmtId="217" fontId="314" fillId="0" borderId="1" xfId="1026" applyNumberFormat="1" applyFont="1" applyBorder="1" applyAlignment="1">
      <alignment horizontal="center" vertical="center" wrapText="1"/>
    </xf>
    <xf numFmtId="217" fontId="315" fillId="0" borderId="0" xfId="1026" applyNumberFormat="1" applyFont="1" applyAlignment="1">
      <alignment horizontal="center"/>
    </xf>
    <xf numFmtId="217" fontId="314" fillId="0" borderId="0" xfId="1026" applyNumberFormat="1" applyFont="1" applyAlignment="1">
      <alignment horizontal="center"/>
    </xf>
    <xf numFmtId="0" fontId="317" fillId="0" borderId="0" xfId="1362" applyFont="1" applyAlignment="1">
      <alignment vertical="center"/>
    </xf>
    <xf numFmtId="0" fontId="79" fillId="0" borderId="0" xfId="0" applyNumberFormat="1" applyFont="1" applyFill="1" applyAlignment="1">
      <alignment horizontal="center" vertical="center"/>
    </xf>
    <xf numFmtId="0" fontId="79" fillId="0" borderId="0" xfId="0" applyFont="1" applyFill="1" applyAlignment="1">
      <alignment horizontal="center" vertical="center"/>
    </xf>
  </cellXfs>
  <cellStyles count="1912">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_x001d_??%U©÷u&amp;H©÷9_x0008_? s_x000a__x0007__x0001__x0001_" xfId="19"/>
    <cellStyle name="???? [0.00]_      " xfId="20"/>
    <cellStyle name="??????" xfId="21"/>
    <cellStyle name="??????????????????? [0]_FTC_OFFER" xfId="22"/>
    <cellStyle name="???????????????????_FTC_OFFER" xfId="23"/>
    <cellStyle name="????_      " xfId="24"/>
    <cellStyle name="???[0]_?? DI" xfId="25"/>
    <cellStyle name="???_?? DI" xfId="26"/>
    <cellStyle name="??[0]_BRE" xfId="27"/>
    <cellStyle name="??_      " xfId="28"/>
    <cellStyle name="??A? [0]_laroux_1_¢¬???¢â? " xfId="29"/>
    <cellStyle name="??A?_laroux_1_¢¬???¢â? " xfId="30"/>
    <cellStyle name="?¡±¢¥?_?¨ù??¢´¢¥_¢¬???¢â? " xfId="31"/>
    <cellStyle name="?ðÇ%U?&amp;H?_x0008_?s_x000a__x0007__x0001__x0001_" xfId="32"/>
    <cellStyle name="[0]_Chi phÝ kh¸c_V" xfId="33"/>
    <cellStyle name="_1 TONG HOP - CA NA" xfId="34"/>
    <cellStyle name="_Bang Chi tieu (2)" xfId="35"/>
    <cellStyle name="_BAO GIA NGAY 24-10-08 (co dam)" xfId="36"/>
    <cellStyle name="_Bao gia TB Kon Dao 2010" xfId="37"/>
    <cellStyle name="_Bieu tong hop nhu cau ung_Mien Trung" xfId="39"/>
    <cellStyle name="_Bieu ung von 2011 NSNN - TPCP vung DBSClong (10-6-2010)" xfId="40"/>
    <cellStyle name="_Biểu KH 5 năm gửi UB sửa biểu VHXH" xfId="38"/>
    <cellStyle name="_Book1" xfId="41"/>
    <cellStyle name="_Book1_1" xfId="42"/>
    <cellStyle name="_Book1_2" xfId="43"/>
    <cellStyle name="_Book1_3" xfId="44"/>
    <cellStyle name="_Book1_BC-QT-WB-dthao" xfId="45"/>
    <cellStyle name="_Book1_Book1" xfId="46"/>
    <cellStyle name="_Book1_DT truong thinh phu" xfId="47"/>
    <cellStyle name="_Book1_Kiem Tra Don Gia" xfId="50"/>
    <cellStyle name="_Book1_Kh ql62 (2010) 11-09" xfId="48"/>
    <cellStyle name="_Book1_khoiluongbdacdoa" xfId="49"/>
    <cellStyle name="_Book1_TH KHAI TOAN THU THIEM cac tuyen TT noi" xfId="51"/>
    <cellStyle name="_C.cong+B.luong-Sanluong" xfId="52"/>
    <cellStyle name="_DO-D1500-KHONG CO TRONG DT" xfId="53"/>
    <cellStyle name="_DT truong thinh phu" xfId="54"/>
    <cellStyle name="_DTDT BL-DL" xfId="55"/>
    <cellStyle name="_du toan lan 3" xfId="56"/>
    <cellStyle name="_Duyet TK thay đôi" xfId="57"/>
    <cellStyle name="_GOITHAUSO2" xfId="58"/>
    <cellStyle name="_GOITHAUSO3" xfId="59"/>
    <cellStyle name="_GOITHAUSO4" xfId="60"/>
    <cellStyle name="_GTXD GOI 2" xfId="61"/>
    <cellStyle name="_GTXD GOI1" xfId="62"/>
    <cellStyle name="_GTXD GOI3" xfId="63"/>
    <cellStyle name="_HaHoa_TDT_DienCSang" xfId="64"/>
    <cellStyle name="_HaHoa19-5-07" xfId="65"/>
    <cellStyle name="_Kiem Tra Don Gia" xfId="68"/>
    <cellStyle name="_KT (2)" xfId="69"/>
    <cellStyle name="_KT (2)_1" xfId="70"/>
    <cellStyle name="_KT (2)_1_Book1" xfId="71"/>
    <cellStyle name="_KT (2)_1_Lora-tungchau" xfId="72"/>
    <cellStyle name="_KT (2)_1_Qt-HT3PQ1(CauKho)" xfId="73"/>
    <cellStyle name="_KT (2)_1_Qt-HT3PQ1(CauKho)_Book1" xfId="74"/>
    <cellStyle name="_KT (2)_1_Qt-HT3PQ1(CauKho)_Don gia quy 3 nam 2003 - Ban Dien Luc" xfId="75"/>
    <cellStyle name="_KT (2)_1_Qt-HT3PQ1(CauKho)_Kiem Tra Don Gia" xfId="76"/>
    <cellStyle name="_KT (2)_1_Qt-HT3PQ1(CauKho)_NC-VL2-2003" xfId="77"/>
    <cellStyle name="_KT (2)_1_Qt-HT3PQ1(CauKho)_NC-VL2-2003_1" xfId="78"/>
    <cellStyle name="_KT (2)_1_Qt-HT3PQ1(CauKho)_XL4Test5" xfId="79"/>
    <cellStyle name="_KT (2)_1_quy luong con lai nam 2004" xfId="80"/>
    <cellStyle name="_KT (2)_1_" xfId="81"/>
    <cellStyle name="_KT (2)_2" xfId="82"/>
    <cellStyle name="_KT (2)_2_Book1" xfId="83"/>
    <cellStyle name="_KT (2)_2_DTDuong dong tien -sua tham tra 2009 - luong 650" xfId="84"/>
    <cellStyle name="_KT (2)_2_quy luong con lai nam 2004" xfId="85"/>
    <cellStyle name="_KT (2)_2_TG-TH" xfId="86"/>
    <cellStyle name="_KT (2)_2_TG-TH_BANG TONG HOP TINH HINH THANH QUYET TOAN (MOI I)" xfId="87"/>
    <cellStyle name="_KT (2)_2_TG-TH_BAO CAO KLCT PT2000" xfId="88"/>
    <cellStyle name="_KT (2)_2_TG-TH_BAO CAO PT2000" xfId="89"/>
    <cellStyle name="_KT (2)_2_TG-TH_BAO CAO PT2000_Book1" xfId="90"/>
    <cellStyle name="_KT (2)_2_TG-TH_Bao cao XDCB 2001 - T11 KH dieu chinh 20-11-THAI" xfId="91"/>
    <cellStyle name="_KT (2)_2_TG-TH_BAO GIA NGAY 24-10-08 (co dam)" xfId="92"/>
    <cellStyle name="_KT (2)_2_TG-TH_Biểu KH 5 năm gửi UB sửa biểu VHXH" xfId="93"/>
    <cellStyle name="_KT (2)_2_TG-TH_Book1" xfId="94"/>
    <cellStyle name="_KT (2)_2_TG-TH_Book1_1" xfId="95"/>
    <cellStyle name="_KT (2)_2_TG-TH_Book1_1_Book1" xfId="96"/>
    <cellStyle name="_KT (2)_2_TG-TH_Book1_1_DanhMucDonGiaVTTB_Dien_TAM" xfId="97"/>
    <cellStyle name="_KT (2)_2_TG-TH_Book1_1_khoiluongbdacdoa" xfId="98"/>
    <cellStyle name="_KT (2)_2_TG-TH_Book1_2" xfId="99"/>
    <cellStyle name="_KT (2)_2_TG-TH_Book1_2_Book1" xfId="100"/>
    <cellStyle name="_KT (2)_2_TG-TH_Book1_3" xfId="101"/>
    <cellStyle name="_KT (2)_2_TG-TH_Book1_3_Book1" xfId="102"/>
    <cellStyle name="_KT (2)_2_TG-TH_Book1_3_DT truong thinh phu" xfId="103"/>
    <cellStyle name="_KT (2)_2_TG-TH_Book1_3_XL4Test5" xfId="104"/>
    <cellStyle name="_KT (2)_2_TG-TH_Book1_4" xfId="105"/>
    <cellStyle name="_KT (2)_2_TG-TH_Book1_Book1" xfId="106"/>
    <cellStyle name="_KT (2)_2_TG-TH_Book1_DanhMucDonGiaVTTB_Dien_TAM" xfId="107"/>
    <cellStyle name="_KT (2)_2_TG-TH_Book1_Kiem Tra Don Gia" xfId="109"/>
    <cellStyle name="_KT (2)_2_TG-TH_Book1_khoiluongbdacdoa" xfId="108"/>
    <cellStyle name="_KT (2)_2_TG-TH_Book1_Tong hop 3 tinh (11_5)-TTH-QN-QT" xfId="110"/>
    <cellStyle name="_KT (2)_2_TG-TH_Book1_" xfId="111"/>
    <cellStyle name="_KT (2)_2_TG-TH_CAU Khanh Nam(Thi Cong)" xfId="112"/>
    <cellStyle name="_KT (2)_2_TG-TH_DAU NOI PL-CL TAI PHU LAMHC" xfId="113"/>
    <cellStyle name="_KT (2)_2_TG-TH_Dcdtoan-bcnckt " xfId="114"/>
    <cellStyle name="_KT (2)_2_TG-TH_DN_MTP" xfId="115"/>
    <cellStyle name="_KT (2)_2_TG-TH_Dongia2-2003" xfId="116"/>
    <cellStyle name="_KT (2)_2_TG-TH_Dongia2-2003_DT truong thinh phu" xfId="117"/>
    <cellStyle name="_KT (2)_2_TG-TH_DT truong thinh phu" xfId="118"/>
    <cellStyle name="_KT (2)_2_TG-TH_DTCDT MR.2N110.HOCMON.TDTOAN.CCUNG" xfId="119"/>
    <cellStyle name="_KT (2)_2_TG-TH_DTDuong dong tien -sua tham tra 2009 - luong 650" xfId="120"/>
    <cellStyle name="_KT (2)_2_TG-TH_DU TRU VAT TU" xfId="121"/>
    <cellStyle name="_KT (2)_2_TG-TH_Kiem Tra Don Gia" xfId="123"/>
    <cellStyle name="_KT (2)_2_TG-TH_khoiluongbdacdoa" xfId="122"/>
    <cellStyle name="_KT (2)_2_TG-TH_Lora-tungchau" xfId="124"/>
    <cellStyle name="_KT (2)_2_TG-TH_moi" xfId="125"/>
    <cellStyle name="_KT (2)_2_TG-TH_PGIA-phieu tham tra Kho bac" xfId="126"/>
    <cellStyle name="_KT (2)_2_TG-TH_PT02-02" xfId="127"/>
    <cellStyle name="_KT (2)_2_TG-TH_PT02-02_Book1" xfId="128"/>
    <cellStyle name="_KT (2)_2_TG-TH_PT02-03" xfId="129"/>
    <cellStyle name="_KT (2)_2_TG-TH_PT02-03_Book1" xfId="130"/>
    <cellStyle name="_KT (2)_2_TG-TH_Qt-HT3PQ1(CauKho)" xfId="131"/>
    <cellStyle name="_KT (2)_2_TG-TH_Qt-HT3PQ1(CauKho)_Book1" xfId="132"/>
    <cellStyle name="_KT (2)_2_TG-TH_Qt-HT3PQ1(CauKho)_Don gia quy 3 nam 2003 - Ban Dien Luc" xfId="133"/>
    <cellStyle name="_KT (2)_2_TG-TH_Qt-HT3PQ1(CauKho)_Kiem Tra Don Gia" xfId="134"/>
    <cellStyle name="_KT (2)_2_TG-TH_Qt-HT3PQ1(CauKho)_NC-VL2-2003" xfId="135"/>
    <cellStyle name="_KT (2)_2_TG-TH_Qt-HT3PQ1(CauKho)_NC-VL2-2003_1" xfId="136"/>
    <cellStyle name="_KT (2)_2_TG-TH_Qt-HT3PQ1(CauKho)_XL4Test5" xfId="137"/>
    <cellStyle name="_KT (2)_2_TG-TH_QT-LCTP-AE" xfId="138"/>
    <cellStyle name="_KT (2)_2_TG-TH_quy luong con lai nam 2004" xfId="139"/>
    <cellStyle name="_KT (2)_2_TG-TH_Sheet2" xfId="140"/>
    <cellStyle name="_KT (2)_2_TG-TH_TEL OUT 2004" xfId="141"/>
    <cellStyle name="_KT (2)_2_TG-TH_Tong hop 3 tinh (11_5)-TTH-QN-QT" xfId="142"/>
    <cellStyle name="_KT (2)_2_TG-TH_XL4Poppy" xfId="143"/>
    <cellStyle name="_KT (2)_2_TG-TH_XL4Test5" xfId="144"/>
    <cellStyle name="_KT (2)_2_TG-TH_ÿÿÿÿÿ" xfId="145"/>
    <cellStyle name="_KT (2)_2_TG-TH_" xfId="146"/>
    <cellStyle name="_KT (2)_3" xfId="147"/>
    <cellStyle name="_KT (2)_3_TG-TH" xfId="148"/>
    <cellStyle name="_KT (2)_3_TG-TH_Book1" xfId="149"/>
    <cellStyle name="_KT (2)_3_TG-TH_Book1_1" xfId="150"/>
    <cellStyle name="_KT (2)_3_TG-TH_Book1_BC-QT-WB-dthao" xfId="151"/>
    <cellStyle name="_KT (2)_3_TG-TH_Book1_Book1" xfId="152"/>
    <cellStyle name="_KT (2)_3_TG-TH_Book1_Kiem Tra Don Gia" xfId="153"/>
    <cellStyle name="_KT (2)_3_TG-TH_Kiem Tra Don Gia" xfId="155"/>
    <cellStyle name="_KT (2)_3_TG-TH_khoiluongbdacdoa" xfId="154"/>
    <cellStyle name="_KT (2)_3_TG-TH_Lora-tungchau" xfId="156"/>
    <cellStyle name="_KT (2)_3_TG-TH_Lora-tungchau_Book1" xfId="157"/>
    <cellStyle name="_KT (2)_3_TG-TH_Lora-tungchau_Kiem Tra Don Gia" xfId="158"/>
    <cellStyle name="_KT (2)_3_TG-TH_PERSONAL" xfId="159"/>
    <cellStyle name="_KT (2)_3_TG-TH_PERSONAL_Book1" xfId="160"/>
    <cellStyle name="_KT (2)_3_TG-TH_PERSONAL_HTQ.8 GD1" xfId="161"/>
    <cellStyle name="_KT (2)_3_TG-TH_PERSONAL_HTQ.8 GD1_Book1" xfId="162"/>
    <cellStyle name="_KT (2)_3_TG-TH_PERSONAL_HTQ.8 GD1_Don gia quy 3 nam 2003 - Ban Dien Luc" xfId="163"/>
    <cellStyle name="_KT (2)_3_TG-TH_PERSONAL_HTQ.8 GD1_NC-VL2-2003" xfId="164"/>
    <cellStyle name="_KT (2)_3_TG-TH_PERSONAL_HTQ.8 GD1_NC-VL2-2003_1" xfId="165"/>
    <cellStyle name="_KT (2)_3_TG-TH_PERSONAL_HTQ.8 GD1_XL4Test5" xfId="166"/>
    <cellStyle name="_KT (2)_3_TG-TH_PERSONAL_khoiluongbdacdoa" xfId="167"/>
    <cellStyle name="_KT (2)_3_TG-TH_PERSONAL_Tong hop KHCB 2001" xfId="168"/>
    <cellStyle name="_KT (2)_3_TG-TH_PERSONAL_" xfId="169"/>
    <cellStyle name="_KT (2)_3_TG-TH_Qt-HT3PQ1(CauKho)" xfId="170"/>
    <cellStyle name="_KT (2)_3_TG-TH_Qt-HT3PQ1(CauKho)_Book1" xfId="171"/>
    <cellStyle name="_KT (2)_3_TG-TH_Qt-HT3PQ1(CauKho)_Don gia quy 3 nam 2003 - Ban Dien Luc" xfId="172"/>
    <cellStyle name="_KT (2)_3_TG-TH_Qt-HT3PQ1(CauKho)_Kiem Tra Don Gia" xfId="173"/>
    <cellStyle name="_KT (2)_3_TG-TH_Qt-HT3PQ1(CauKho)_NC-VL2-2003" xfId="174"/>
    <cellStyle name="_KT (2)_3_TG-TH_Qt-HT3PQ1(CauKho)_NC-VL2-2003_1" xfId="175"/>
    <cellStyle name="_KT (2)_3_TG-TH_Qt-HT3PQ1(CauKho)_XL4Test5" xfId="176"/>
    <cellStyle name="_KT (2)_3_TG-TH_QT-LCTP-AE" xfId="177"/>
    <cellStyle name="_KT (2)_3_TG-TH_quy luong con lai nam 2004" xfId="178"/>
    <cellStyle name="_KT (2)_3_TG-TH_" xfId="179"/>
    <cellStyle name="_KT (2)_4" xfId="180"/>
    <cellStyle name="_KT (2)_4_BANG TONG HOP TINH HINH THANH QUYET TOAN (MOI I)" xfId="181"/>
    <cellStyle name="_KT (2)_4_BAO CAO KLCT PT2000" xfId="182"/>
    <cellStyle name="_KT (2)_4_BAO CAO PT2000" xfId="183"/>
    <cellStyle name="_KT (2)_4_BAO CAO PT2000_Book1" xfId="184"/>
    <cellStyle name="_KT (2)_4_Bao cao XDCB 2001 - T11 KH dieu chinh 20-11-THAI" xfId="185"/>
    <cellStyle name="_KT (2)_4_BAO GIA NGAY 24-10-08 (co dam)" xfId="186"/>
    <cellStyle name="_KT (2)_4_Biểu KH 5 năm gửi UB sửa biểu VHXH" xfId="187"/>
    <cellStyle name="_KT (2)_4_Book1" xfId="188"/>
    <cellStyle name="_KT (2)_4_Book1_1" xfId="189"/>
    <cellStyle name="_KT (2)_4_Book1_1_Book1" xfId="190"/>
    <cellStyle name="_KT (2)_4_Book1_1_DanhMucDonGiaVTTB_Dien_TAM" xfId="191"/>
    <cellStyle name="_KT (2)_4_Book1_1_khoiluongbdacdoa" xfId="192"/>
    <cellStyle name="_KT (2)_4_Book1_2" xfId="193"/>
    <cellStyle name="_KT (2)_4_Book1_2_Book1" xfId="194"/>
    <cellStyle name="_KT (2)_4_Book1_3" xfId="195"/>
    <cellStyle name="_KT (2)_4_Book1_3_Book1" xfId="196"/>
    <cellStyle name="_KT (2)_4_Book1_3_DT truong thinh phu" xfId="197"/>
    <cellStyle name="_KT (2)_4_Book1_3_XL4Test5" xfId="198"/>
    <cellStyle name="_KT (2)_4_Book1_4" xfId="199"/>
    <cellStyle name="_KT (2)_4_Book1_Book1" xfId="200"/>
    <cellStyle name="_KT (2)_4_Book1_DanhMucDonGiaVTTB_Dien_TAM" xfId="201"/>
    <cellStyle name="_KT (2)_4_Book1_Kiem Tra Don Gia" xfId="203"/>
    <cellStyle name="_KT (2)_4_Book1_khoiluongbdacdoa" xfId="202"/>
    <cellStyle name="_KT (2)_4_Book1_Tong hop 3 tinh (11_5)-TTH-QN-QT" xfId="204"/>
    <cellStyle name="_KT (2)_4_Book1_" xfId="205"/>
    <cellStyle name="_KT (2)_4_CAU Khanh Nam(Thi Cong)" xfId="206"/>
    <cellStyle name="_KT (2)_4_DAU NOI PL-CL TAI PHU LAMHC" xfId="207"/>
    <cellStyle name="_KT (2)_4_Dcdtoan-bcnckt " xfId="208"/>
    <cellStyle name="_KT (2)_4_DN_MTP" xfId="209"/>
    <cellStyle name="_KT (2)_4_Dongia2-2003" xfId="210"/>
    <cellStyle name="_KT (2)_4_Dongia2-2003_DT truong thinh phu" xfId="211"/>
    <cellStyle name="_KT (2)_4_DT truong thinh phu" xfId="212"/>
    <cellStyle name="_KT (2)_4_DTCDT MR.2N110.HOCMON.TDTOAN.CCUNG" xfId="213"/>
    <cellStyle name="_KT (2)_4_DTDuong dong tien -sua tham tra 2009 - luong 650" xfId="214"/>
    <cellStyle name="_KT (2)_4_DU TRU VAT TU" xfId="215"/>
    <cellStyle name="_KT (2)_4_Kiem Tra Don Gia" xfId="217"/>
    <cellStyle name="_KT (2)_4_khoiluongbdacdoa" xfId="216"/>
    <cellStyle name="_KT (2)_4_Lora-tungchau" xfId="218"/>
    <cellStyle name="_KT (2)_4_moi" xfId="219"/>
    <cellStyle name="_KT (2)_4_PGIA-phieu tham tra Kho bac" xfId="220"/>
    <cellStyle name="_KT (2)_4_PT02-02" xfId="221"/>
    <cellStyle name="_KT (2)_4_PT02-02_Book1" xfId="222"/>
    <cellStyle name="_KT (2)_4_PT02-03" xfId="223"/>
    <cellStyle name="_KT (2)_4_PT02-03_Book1" xfId="224"/>
    <cellStyle name="_KT (2)_4_Qt-HT3PQ1(CauKho)" xfId="225"/>
    <cellStyle name="_KT (2)_4_Qt-HT3PQ1(CauKho)_Book1" xfId="226"/>
    <cellStyle name="_KT (2)_4_Qt-HT3PQ1(CauKho)_Don gia quy 3 nam 2003 - Ban Dien Luc" xfId="227"/>
    <cellStyle name="_KT (2)_4_Qt-HT3PQ1(CauKho)_Kiem Tra Don Gia" xfId="228"/>
    <cellStyle name="_KT (2)_4_Qt-HT3PQ1(CauKho)_NC-VL2-2003" xfId="229"/>
    <cellStyle name="_KT (2)_4_Qt-HT3PQ1(CauKho)_NC-VL2-2003_1" xfId="230"/>
    <cellStyle name="_KT (2)_4_Qt-HT3PQ1(CauKho)_XL4Test5" xfId="231"/>
    <cellStyle name="_KT (2)_4_QT-LCTP-AE" xfId="232"/>
    <cellStyle name="_KT (2)_4_quy luong con lai nam 2004" xfId="233"/>
    <cellStyle name="_KT (2)_4_Sheet2" xfId="234"/>
    <cellStyle name="_KT (2)_4_TEL OUT 2004" xfId="235"/>
    <cellStyle name="_KT (2)_4_TG-TH" xfId="236"/>
    <cellStyle name="_KT (2)_4_TG-TH_Book1" xfId="237"/>
    <cellStyle name="_KT (2)_4_TG-TH_DTDuong dong tien -sua tham tra 2009 - luong 650" xfId="238"/>
    <cellStyle name="_KT (2)_4_TG-TH_quy luong con lai nam 2004" xfId="239"/>
    <cellStyle name="_KT (2)_4_Tong hop 3 tinh (11_5)-TTH-QN-QT" xfId="240"/>
    <cellStyle name="_KT (2)_4_XL4Poppy" xfId="241"/>
    <cellStyle name="_KT (2)_4_XL4Test5" xfId="242"/>
    <cellStyle name="_KT (2)_4_ÿÿÿÿÿ" xfId="243"/>
    <cellStyle name="_KT (2)_4_" xfId="244"/>
    <cellStyle name="_KT (2)_5" xfId="245"/>
    <cellStyle name="_KT (2)_5_BANG TONG HOP TINH HINH THANH QUYET TOAN (MOI I)" xfId="246"/>
    <cellStyle name="_KT (2)_5_BAO CAO KLCT PT2000" xfId="247"/>
    <cellStyle name="_KT (2)_5_BAO CAO PT2000" xfId="248"/>
    <cellStyle name="_KT (2)_5_BAO CAO PT2000_Book1" xfId="249"/>
    <cellStyle name="_KT (2)_5_Bao cao XDCB 2001 - T11 KH dieu chinh 20-11-THAI" xfId="250"/>
    <cellStyle name="_KT (2)_5_BAO GIA NGAY 24-10-08 (co dam)" xfId="251"/>
    <cellStyle name="_KT (2)_5_Biểu KH 5 năm gửi UB sửa biểu VHXH" xfId="252"/>
    <cellStyle name="_KT (2)_5_Book1" xfId="253"/>
    <cellStyle name="_KT (2)_5_Book1_1" xfId="254"/>
    <cellStyle name="_KT (2)_5_Book1_1_Book1" xfId="255"/>
    <cellStyle name="_KT (2)_5_Book1_1_DanhMucDonGiaVTTB_Dien_TAM" xfId="256"/>
    <cellStyle name="_KT (2)_5_Book1_1_khoiluongbdacdoa" xfId="257"/>
    <cellStyle name="_KT (2)_5_Book1_2" xfId="258"/>
    <cellStyle name="_KT (2)_5_Book1_2_Book1" xfId="259"/>
    <cellStyle name="_KT (2)_5_Book1_3" xfId="260"/>
    <cellStyle name="_KT (2)_5_Book1_3_Book1" xfId="261"/>
    <cellStyle name="_KT (2)_5_Book1_3_DT truong thinh phu" xfId="262"/>
    <cellStyle name="_KT (2)_5_Book1_3_XL4Test5" xfId="263"/>
    <cellStyle name="_KT (2)_5_Book1_4" xfId="264"/>
    <cellStyle name="_KT (2)_5_Book1_BC-QT-WB-dthao" xfId="265"/>
    <cellStyle name="_KT (2)_5_Book1_Book1" xfId="266"/>
    <cellStyle name="_KT (2)_5_Book1_DanhMucDonGiaVTTB_Dien_TAM" xfId="267"/>
    <cellStyle name="_KT (2)_5_Book1_Kiem Tra Don Gia" xfId="269"/>
    <cellStyle name="_KT (2)_5_Book1_khoiluongbdacdoa" xfId="268"/>
    <cellStyle name="_KT (2)_5_Book1_Tong hop 3 tinh (11_5)-TTH-QN-QT" xfId="270"/>
    <cellStyle name="_KT (2)_5_Book1_" xfId="271"/>
    <cellStyle name="_KT (2)_5_CAU Khanh Nam(Thi Cong)" xfId="272"/>
    <cellStyle name="_KT (2)_5_DAU NOI PL-CL TAI PHU LAMHC" xfId="273"/>
    <cellStyle name="_KT (2)_5_Dcdtoan-bcnckt " xfId="274"/>
    <cellStyle name="_KT (2)_5_DN_MTP" xfId="275"/>
    <cellStyle name="_KT (2)_5_Dongia2-2003" xfId="276"/>
    <cellStyle name="_KT (2)_5_Dongia2-2003_DT truong thinh phu" xfId="277"/>
    <cellStyle name="_KT (2)_5_DT truong thinh phu" xfId="278"/>
    <cellStyle name="_KT (2)_5_DTCDT MR.2N110.HOCMON.TDTOAN.CCUNG" xfId="279"/>
    <cellStyle name="_KT (2)_5_DTDuong dong tien -sua tham tra 2009 - luong 650" xfId="280"/>
    <cellStyle name="_KT (2)_5_DU TRU VAT TU" xfId="281"/>
    <cellStyle name="_KT (2)_5_Kiem Tra Don Gia" xfId="283"/>
    <cellStyle name="_KT (2)_5_khoiluongbdacdoa" xfId="282"/>
    <cellStyle name="_KT (2)_5_Lora-tungchau" xfId="284"/>
    <cellStyle name="_KT (2)_5_moi" xfId="285"/>
    <cellStyle name="_KT (2)_5_PGIA-phieu tham tra Kho bac" xfId="286"/>
    <cellStyle name="_KT (2)_5_PT02-02" xfId="287"/>
    <cellStyle name="_KT (2)_5_PT02-02_Book1" xfId="288"/>
    <cellStyle name="_KT (2)_5_PT02-03" xfId="289"/>
    <cellStyle name="_KT (2)_5_PT02-03_Book1" xfId="290"/>
    <cellStyle name="_KT (2)_5_Qt-HT3PQ1(CauKho)" xfId="291"/>
    <cellStyle name="_KT (2)_5_Qt-HT3PQ1(CauKho)_Book1" xfId="292"/>
    <cellStyle name="_KT (2)_5_Qt-HT3PQ1(CauKho)_Don gia quy 3 nam 2003 - Ban Dien Luc" xfId="293"/>
    <cellStyle name="_KT (2)_5_Qt-HT3PQ1(CauKho)_Kiem Tra Don Gia" xfId="294"/>
    <cellStyle name="_KT (2)_5_Qt-HT3PQ1(CauKho)_NC-VL2-2003" xfId="295"/>
    <cellStyle name="_KT (2)_5_Qt-HT3PQ1(CauKho)_NC-VL2-2003_1" xfId="296"/>
    <cellStyle name="_KT (2)_5_Qt-HT3PQ1(CauKho)_XL4Test5" xfId="297"/>
    <cellStyle name="_KT (2)_5_QT-LCTP-AE" xfId="298"/>
    <cellStyle name="_KT (2)_5_Sheet2" xfId="299"/>
    <cellStyle name="_KT (2)_5_TEL OUT 2004" xfId="300"/>
    <cellStyle name="_KT (2)_5_Tong hop 3 tinh (11_5)-TTH-QN-QT" xfId="301"/>
    <cellStyle name="_KT (2)_5_XL4Poppy" xfId="302"/>
    <cellStyle name="_KT (2)_5_XL4Test5" xfId="303"/>
    <cellStyle name="_KT (2)_5_ÿÿÿÿÿ" xfId="304"/>
    <cellStyle name="_KT (2)_5_" xfId="305"/>
    <cellStyle name="_KT (2)_Book1" xfId="306"/>
    <cellStyle name="_KT (2)_Book1_1" xfId="307"/>
    <cellStyle name="_KT (2)_Book1_BC-QT-WB-dthao" xfId="308"/>
    <cellStyle name="_KT (2)_Book1_Book1" xfId="309"/>
    <cellStyle name="_KT (2)_Book1_Kiem Tra Don Gia" xfId="310"/>
    <cellStyle name="_KT (2)_Kiem Tra Don Gia" xfId="312"/>
    <cellStyle name="_KT (2)_khoiluongbdacdoa" xfId="311"/>
    <cellStyle name="_KT (2)_Lora-tungchau" xfId="313"/>
    <cellStyle name="_KT (2)_Lora-tungchau_Book1" xfId="314"/>
    <cellStyle name="_KT (2)_Lora-tungchau_Kiem Tra Don Gia" xfId="315"/>
    <cellStyle name="_KT (2)_PERSONAL" xfId="316"/>
    <cellStyle name="_KT (2)_PERSONAL_Book1" xfId="317"/>
    <cellStyle name="_KT (2)_PERSONAL_HTQ.8 GD1" xfId="318"/>
    <cellStyle name="_KT (2)_PERSONAL_HTQ.8 GD1_Book1" xfId="319"/>
    <cellStyle name="_KT (2)_PERSONAL_HTQ.8 GD1_Don gia quy 3 nam 2003 - Ban Dien Luc" xfId="320"/>
    <cellStyle name="_KT (2)_PERSONAL_HTQ.8 GD1_NC-VL2-2003" xfId="321"/>
    <cellStyle name="_KT (2)_PERSONAL_HTQ.8 GD1_NC-VL2-2003_1" xfId="322"/>
    <cellStyle name="_KT (2)_PERSONAL_HTQ.8 GD1_XL4Test5" xfId="323"/>
    <cellStyle name="_KT (2)_PERSONAL_khoiluongbdacdoa" xfId="324"/>
    <cellStyle name="_KT (2)_PERSONAL_Tong hop KHCB 2001" xfId="325"/>
    <cellStyle name="_KT (2)_PERSONAL_" xfId="326"/>
    <cellStyle name="_KT (2)_Qt-HT3PQ1(CauKho)" xfId="327"/>
    <cellStyle name="_KT (2)_Qt-HT3PQ1(CauKho)_Book1" xfId="328"/>
    <cellStyle name="_KT (2)_Qt-HT3PQ1(CauKho)_Don gia quy 3 nam 2003 - Ban Dien Luc" xfId="329"/>
    <cellStyle name="_KT (2)_Qt-HT3PQ1(CauKho)_Kiem Tra Don Gia" xfId="330"/>
    <cellStyle name="_KT (2)_Qt-HT3PQ1(CauKho)_NC-VL2-2003" xfId="331"/>
    <cellStyle name="_KT (2)_Qt-HT3PQ1(CauKho)_NC-VL2-2003_1" xfId="332"/>
    <cellStyle name="_KT (2)_Qt-HT3PQ1(CauKho)_XL4Test5" xfId="333"/>
    <cellStyle name="_KT (2)_QT-LCTP-AE" xfId="334"/>
    <cellStyle name="_KT (2)_quy luong con lai nam 2004" xfId="335"/>
    <cellStyle name="_KT (2)_TG-TH" xfId="336"/>
    <cellStyle name="_KT (2)_" xfId="337"/>
    <cellStyle name="_KT_TG" xfId="338"/>
    <cellStyle name="_KT_TG_1" xfId="339"/>
    <cellStyle name="_KT_TG_1_BANG TONG HOP TINH HINH THANH QUYET TOAN (MOI I)" xfId="340"/>
    <cellStyle name="_KT_TG_1_BAO CAO KLCT PT2000" xfId="341"/>
    <cellStyle name="_KT_TG_1_BAO CAO PT2000" xfId="342"/>
    <cellStyle name="_KT_TG_1_BAO CAO PT2000_Book1" xfId="343"/>
    <cellStyle name="_KT_TG_1_Bao cao XDCB 2001 - T11 KH dieu chinh 20-11-THAI" xfId="344"/>
    <cellStyle name="_KT_TG_1_BAO GIA NGAY 24-10-08 (co dam)" xfId="345"/>
    <cellStyle name="_KT_TG_1_Biểu KH 5 năm gửi UB sửa biểu VHXH" xfId="346"/>
    <cellStyle name="_KT_TG_1_Book1" xfId="347"/>
    <cellStyle name="_KT_TG_1_Book1_1" xfId="348"/>
    <cellStyle name="_KT_TG_1_Book1_1_Book1" xfId="349"/>
    <cellStyle name="_KT_TG_1_Book1_1_DanhMucDonGiaVTTB_Dien_TAM" xfId="350"/>
    <cellStyle name="_KT_TG_1_Book1_1_khoiluongbdacdoa" xfId="351"/>
    <cellStyle name="_KT_TG_1_Book1_2" xfId="352"/>
    <cellStyle name="_KT_TG_1_Book1_2_Book1" xfId="353"/>
    <cellStyle name="_KT_TG_1_Book1_3" xfId="354"/>
    <cellStyle name="_KT_TG_1_Book1_3_Book1" xfId="355"/>
    <cellStyle name="_KT_TG_1_Book1_3_DT truong thinh phu" xfId="356"/>
    <cellStyle name="_KT_TG_1_Book1_3_XL4Test5" xfId="357"/>
    <cellStyle name="_KT_TG_1_Book1_4" xfId="358"/>
    <cellStyle name="_KT_TG_1_Book1_BC-QT-WB-dthao" xfId="359"/>
    <cellStyle name="_KT_TG_1_Book1_Book1" xfId="360"/>
    <cellStyle name="_KT_TG_1_Book1_DanhMucDonGiaVTTB_Dien_TAM" xfId="361"/>
    <cellStyle name="_KT_TG_1_Book1_Kiem Tra Don Gia" xfId="363"/>
    <cellStyle name="_KT_TG_1_Book1_khoiluongbdacdoa" xfId="362"/>
    <cellStyle name="_KT_TG_1_Book1_Tong hop 3 tinh (11_5)-TTH-QN-QT" xfId="364"/>
    <cellStyle name="_KT_TG_1_Book1_" xfId="365"/>
    <cellStyle name="_KT_TG_1_CAU Khanh Nam(Thi Cong)" xfId="366"/>
    <cellStyle name="_KT_TG_1_DAU NOI PL-CL TAI PHU LAMHC" xfId="367"/>
    <cellStyle name="_KT_TG_1_Dcdtoan-bcnckt " xfId="368"/>
    <cellStyle name="_KT_TG_1_DN_MTP" xfId="369"/>
    <cellStyle name="_KT_TG_1_Dongia2-2003" xfId="370"/>
    <cellStyle name="_KT_TG_1_Dongia2-2003_DT truong thinh phu" xfId="371"/>
    <cellStyle name="_KT_TG_1_DT truong thinh phu" xfId="372"/>
    <cellStyle name="_KT_TG_1_DTCDT MR.2N110.HOCMON.TDTOAN.CCUNG" xfId="373"/>
    <cellStyle name="_KT_TG_1_DTDuong dong tien -sua tham tra 2009 - luong 650" xfId="374"/>
    <cellStyle name="_KT_TG_1_DU TRU VAT TU" xfId="375"/>
    <cellStyle name="_KT_TG_1_Kiem Tra Don Gia" xfId="377"/>
    <cellStyle name="_KT_TG_1_khoiluongbdacdoa" xfId="376"/>
    <cellStyle name="_KT_TG_1_Lora-tungchau" xfId="378"/>
    <cellStyle name="_KT_TG_1_moi" xfId="379"/>
    <cellStyle name="_KT_TG_1_PGIA-phieu tham tra Kho bac" xfId="380"/>
    <cellStyle name="_KT_TG_1_PT02-02" xfId="381"/>
    <cellStyle name="_KT_TG_1_PT02-02_Book1" xfId="382"/>
    <cellStyle name="_KT_TG_1_PT02-03" xfId="383"/>
    <cellStyle name="_KT_TG_1_PT02-03_Book1" xfId="384"/>
    <cellStyle name="_KT_TG_1_Qt-HT3PQ1(CauKho)" xfId="385"/>
    <cellStyle name="_KT_TG_1_Qt-HT3PQ1(CauKho)_Book1" xfId="386"/>
    <cellStyle name="_KT_TG_1_Qt-HT3PQ1(CauKho)_Don gia quy 3 nam 2003 - Ban Dien Luc" xfId="387"/>
    <cellStyle name="_KT_TG_1_Qt-HT3PQ1(CauKho)_Kiem Tra Don Gia" xfId="388"/>
    <cellStyle name="_KT_TG_1_Qt-HT3PQ1(CauKho)_NC-VL2-2003" xfId="389"/>
    <cellStyle name="_KT_TG_1_Qt-HT3PQ1(CauKho)_NC-VL2-2003_1" xfId="390"/>
    <cellStyle name="_KT_TG_1_Qt-HT3PQ1(CauKho)_XL4Test5" xfId="391"/>
    <cellStyle name="_KT_TG_1_QT-LCTP-AE" xfId="392"/>
    <cellStyle name="_KT_TG_1_Sheet2" xfId="393"/>
    <cellStyle name="_KT_TG_1_TEL OUT 2004" xfId="394"/>
    <cellStyle name="_KT_TG_1_Tong hop 3 tinh (11_5)-TTH-QN-QT" xfId="395"/>
    <cellStyle name="_KT_TG_1_XL4Poppy" xfId="396"/>
    <cellStyle name="_KT_TG_1_XL4Test5" xfId="397"/>
    <cellStyle name="_KT_TG_1_ÿÿÿÿÿ" xfId="398"/>
    <cellStyle name="_KT_TG_1_" xfId="399"/>
    <cellStyle name="_KT_TG_2" xfId="400"/>
    <cellStyle name="_KT_TG_2_BANG TONG HOP TINH HINH THANH QUYET TOAN (MOI I)" xfId="401"/>
    <cellStyle name="_KT_TG_2_BAO CAO KLCT PT2000" xfId="402"/>
    <cellStyle name="_KT_TG_2_BAO CAO PT2000" xfId="403"/>
    <cellStyle name="_KT_TG_2_BAO CAO PT2000_Book1" xfId="404"/>
    <cellStyle name="_KT_TG_2_Bao cao XDCB 2001 - T11 KH dieu chinh 20-11-THAI" xfId="405"/>
    <cellStyle name="_KT_TG_2_BAO GIA NGAY 24-10-08 (co dam)" xfId="406"/>
    <cellStyle name="_KT_TG_2_Biểu KH 5 năm gửi UB sửa biểu VHXH" xfId="407"/>
    <cellStyle name="_KT_TG_2_Book1" xfId="408"/>
    <cellStyle name="_KT_TG_2_Book1_1" xfId="409"/>
    <cellStyle name="_KT_TG_2_Book1_1_Book1" xfId="410"/>
    <cellStyle name="_KT_TG_2_Book1_1_DanhMucDonGiaVTTB_Dien_TAM" xfId="411"/>
    <cellStyle name="_KT_TG_2_Book1_1_khoiluongbdacdoa" xfId="412"/>
    <cellStyle name="_KT_TG_2_Book1_2" xfId="413"/>
    <cellStyle name="_KT_TG_2_Book1_2_Book1" xfId="414"/>
    <cellStyle name="_KT_TG_2_Book1_3" xfId="415"/>
    <cellStyle name="_KT_TG_2_Book1_3_Book1" xfId="416"/>
    <cellStyle name="_KT_TG_2_Book1_3_DT truong thinh phu" xfId="417"/>
    <cellStyle name="_KT_TG_2_Book1_3_XL4Test5" xfId="418"/>
    <cellStyle name="_KT_TG_2_Book1_4" xfId="419"/>
    <cellStyle name="_KT_TG_2_Book1_Book1" xfId="420"/>
    <cellStyle name="_KT_TG_2_Book1_DanhMucDonGiaVTTB_Dien_TAM" xfId="421"/>
    <cellStyle name="_KT_TG_2_Book1_Kiem Tra Don Gia" xfId="423"/>
    <cellStyle name="_KT_TG_2_Book1_khoiluongbdacdoa" xfId="422"/>
    <cellStyle name="_KT_TG_2_Book1_Tong hop 3 tinh (11_5)-TTH-QN-QT" xfId="424"/>
    <cellStyle name="_KT_TG_2_Book1_" xfId="425"/>
    <cellStyle name="_KT_TG_2_CAU Khanh Nam(Thi Cong)" xfId="426"/>
    <cellStyle name="_KT_TG_2_DAU NOI PL-CL TAI PHU LAMHC" xfId="427"/>
    <cellStyle name="_KT_TG_2_Dcdtoan-bcnckt " xfId="428"/>
    <cellStyle name="_KT_TG_2_DN_MTP" xfId="429"/>
    <cellStyle name="_KT_TG_2_Dongia2-2003" xfId="430"/>
    <cellStyle name="_KT_TG_2_Dongia2-2003_DT truong thinh phu" xfId="431"/>
    <cellStyle name="_KT_TG_2_DT truong thinh phu" xfId="432"/>
    <cellStyle name="_KT_TG_2_DTCDT MR.2N110.HOCMON.TDTOAN.CCUNG" xfId="433"/>
    <cellStyle name="_KT_TG_2_DTDuong dong tien -sua tham tra 2009 - luong 650" xfId="434"/>
    <cellStyle name="_KT_TG_2_DU TRU VAT TU" xfId="435"/>
    <cellStyle name="_KT_TG_2_Kiem Tra Don Gia" xfId="437"/>
    <cellStyle name="_KT_TG_2_khoiluongbdacdoa" xfId="436"/>
    <cellStyle name="_KT_TG_2_Lora-tungchau" xfId="438"/>
    <cellStyle name="_KT_TG_2_moi" xfId="439"/>
    <cellStyle name="_KT_TG_2_PGIA-phieu tham tra Kho bac" xfId="440"/>
    <cellStyle name="_KT_TG_2_PT02-02" xfId="441"/>
    <cellStyle name="_KT_TG_2_PT02-02_Book1" xfId="442"/>
    <cellStyle name="_KT_TG_2_PT02-03" xfId="443"/>
    <cellStyle name="_KT_TG_2_PT02-03_Book1" xfId="444"/>
    <cellStyle name="_KT_TG_2_Qt-HT3PQ1(CauKho)" xfId="445"/>
    <cellStyle name="_KT_TG_2_Qt-HT3PQ1(CauKho)_Book1" xfId="446"/>
    <cellStyle name="_KT_TG_2_Qt-HT3PQ1(CauKho)_Don gia quy 3 nam 2003 - Ban Dien Luc" xfId="447"/>
    <cellStyle name="_KT_TG_2_Qt-HT3PQ1(CauKho)_Kiem Tra Don Gia" xfId="448"/>
    <cellStyle name="_KT_TG_2_Qt-HT3PQ1(CauKho)_NC-VL2-2003" xfId="449"/>
    <cellStyle name="_KT_TG_2_Qt-HT3PQ1(CauKho)_NC-VL2-2003_1" xfId="450"/>
    <cellStyle name="_KT_TG_2_Qt-HT3PQ1(CauKho)_XL4Test5" xfId="451"/>
    <cellStyle name="_KT_TG_2_QT-LCTP-AE" xfId="452"/>
    <cellStyle name="_KT_TG_2_quy luong con lai nam 2004" xfId="453"/>
    <cellStyle name="_KT_TG_2_Sheet2" xfId="454"/>
    <cellStyle name="_KT_TG_2_TEL OUT 2004" xfId="455"/>
    <cellStyle name="_KT_TG_2_Tong hop 3 tinh (11_5)-TTH-QN-QT" xfId="456"/>
    <cellStyle name="_KT_TG_2_XL4Poppy" xfId="457"/>
    <cellStyle name="_KT_TG_2_XL4Test5" xfId="458"/>
    <cellStyle name="_KT_TG_2_ÿÿÿÿÿ" xfId="459"/>
    <cellStyle name="_KT_TG_2_" xfId="460"/>
    <cellStyle name="_KT_TG_3" xfId="461"/>
    <cellStyle name="_KT_TG_4" xfId="462"/>
    <cellStyle name="_KT_TG_4_Book1" xfId="463"/>
    <cellStyle name="_KT_TG_4_Lora-tungchau" xfId="464"/>
    <cellStyle name="_KT_TG_4_Qt-HT3PQ1(CauKho)" xfId="465"/>
    <cellStyle name="_KT_TG_4_Qt-HT3PQ1(CauKho)_Book1" xfId="466"/>
    <cellStyle name="_KT_TG_4_Qt-HT3PQ1(CauKho)_Don gia quy 3 nam 2003 - Ban Dien Luc" xfId="467"/>
    <cellStyle name="_KT_TG_4_Qt-HT3PQ1(CauKho)_Kiem Tra Don Gia" xfId="468"/>
    <cellStyle name="_KT_TG_4_Qt-HT3PQ1(CauKho)_NC-VL2-2003" xfId="469"/>
    <cellStyle name="_KT_TG_4_Qt-HT3PQ1(CauKho)_NC-VL2-2003_1" xfId="470"/>
    <cellStyle name="_KT_TG_4_Qt-HT3PQ1(CauKho)_XL4Test5" xfId="471"/>
    <cellStyle name="_KT_TG_4_quy luong con lai nam 2004" xfId="472"/>
    <cellStyle name="_KT_TG_4_" xfId="473"/>
    <cellStyle name="_KT_TG_Book1" xfId="474"/>
    <cellStyle name="_KT_TG_DTDuong dong tien -sua tham tra 2009 - luong 650" xfId="475"/>
    <cellStyle name="_KT_TG_quy luong con lai nam 2004" xfId="476"/>
    <cellStyle name="_Kh ql62 (2010) 11-09" xfId="66"/>
    <cellStyle name="_khoiluongbdacdoa" xfId="67"/>
    <cellStyle name="_Lora-tungchau" xfId="477"/>
    <cellStyle name="_Lora-tungchau_Book1" xfId="478"/>
    <cellStyle name="_Lora-tungchau_Kiem Tra Don Gia" xfId="479"/>
    <cellStyle name="_MauThanTKKT-goi7-DonGia2143(vl t7)" xfId="480"/>
    <cellStyle name="_Nhu cau von ung truoc 2011 Tha h Hoa + Nge An gui TW" xfId="481"/>
    <cellStyle name="_PERSONAL" xfId="482"/>
    <cellStyle name="_PERSONAL_Book1" xfId="483"/>
    <cellStyle name="_PERSONAL_HTQ.8 GD1" xfId="484"/>
    <cellStyle name="_PERSONAL_HTQ.8 GD1_Book1" xfId="485"/>
    <cellStyle name="_PERSONAL_HTQ.8 GD1_Don gia quy 3 nam 2003 - Ban Dien Luc" xfId="486"/>
    <cellStyle name="_PERSONAL_HTQ.8 GD1_NC-VL2-2003" xfId="487"/>
    <cellStyle name="_PERSONAL_HTQ.8 GD1_NC-VL2-2003_1" xfId="488"/>
    <cellStyle name="_PERSONAL_HTQ.8 GD1_XL4Test5" xfId="489"/>
    <cellStyle name="_PERSONAL_khoiluongbdacdoa" xfId="490"/>
    <cellStyle name="_PERSONAL_Tong hop KHCB 2001" xfId="491"/>
    <cellStyle name="_PERSONAL_" xfId="492"/>
    <cellStyle name="_Q TOAN  SCTX QL.62 QUI I ( oanh)" xfId="493"/>
    <cellStyle name="_Q TOAN  SCTX QL.62 QUI II ( oanh)" xfId="494"/>
    <cellStyle name="_QT SCTXQL62_QT1 (Cty QL)" xfId="495"/>
    <cellStyle name="_Qt-HT3PQ1(CauKho)" xfId="496"/>
    <cellStyle name="_Qt-HT3PQ1(CauKho)_Book1" xfId="497"/>
    <cellStyle name="_Qt-HT3PQ1(CauKho)_Don gia quy 3 nam 2003 - Ban Dien Luc" xfId="498"/>
    <cellStyle name="_Qt-HT3PQ1(CauKho)_Kiem Tra Don Gia" xfId="499"/>
    <cellStyle name="_Qt-HT3PQ1(CauKho)_NC-VL2-2003" xfId="500"/>
    <cellStyle name="_Qt-HT3PQ1(CauKho)_NC-VL2-2003_1" xfId="501"/>
    <cellStyle name="_Qt-HT3PQ1(CauKho)_XL4Test5" xfId="502"/>
    <cellStyle name="_QT-LCTP-AE" xfId="503"/>
    <cellStyle name="_quy luong con lai nam 2004" xfId="504"/>
    <cellStyle name="_Sheet1" xfId="505"/>
    <cellStyle name="_Sheet2" xfId="506"/>
    <cellStyle name="_TG-TH" xfId="507"/>
    <cellStyle name="_TG-TH_1" xfId="508"/>
    <cellStyle name="_TG-TH_1_BANG TONG HOP TINH HINH THANH QUYET TOAN (MOI I)" xfId="509"/>
    <cellStyle name="_TG-TH_1_BAO CAO KLCT PT2000" xfId="510"/>
    <cellStyle name="_TG-TH_1_BAO CAO PT2000" xfId="511"/>
    <cellStyle name="_TG-TH_1_BAO CAO PT2000_Book1" xfId="512"/>
    <cellStyle name="_TG-TH_1_Bao cao XDCB 2001 - T11 KH dieu chinh 20-11-THAI" xfId="513"/>
    <cellStyle name="_TG-TH_1_BAO GIA NGAY 24-10-08 (co dam)" xfId="514"/>
    <cellStyle name="_TG-TH_1_Biểu KH 5 năm gửi UB sửa biểu VHXH" xfId="515"/>
    <cellStyle name="_TG-TH_1_Book1" xfId="516"/>
    <cellStyle name="_TG-TH_1_Book1_1" xfId="517"/>
    <cellStyle name="_TG-TH_1_Book1_1_Book1" xfId="518"/>
    <cellStyle name="_TG-TH_1_Book1_1_DanhMucDonGiaVTTB_Dien_TAM" xfId="519"/>
    <cellStyle name="_TG-TH_1_Book1_1_khoiluongbdacdoa" xfId="520"/>
    <cellStyle name="_TG-TH_1_Book1_2" xfId="521"/>
    <cellStyle name="_TG-TH_1_Book1_2_Book1" xfId="522"/>
    <cellStyle name="_TG-TH_1_Book1_3" xfId="523"/>
    <cellStyle name="_TG-TH_1_Book1_3_Book1" xfId="524"/>
    <cellStyle name="_TG-TH_1_Book1_3_DT truong thinh phu" xfId="525"/>
    <cellStyle name="_TG-TH_1_Book1_3_XL4Test5" xfId="526"/>
    <cellStyle name="_TG-TH_1_Book1_4" xfId="527"/>
    <cellStyle name="_TG-TH_1_Book1_BC-QT-WB-dthao" xfId="528"/>
    <cellStyle name="_TG-TH_1_Book1_Book1" xfId="529"/>
    <cellStyle name="_TG-TH_1_Book1_DanhMucDonGiaVTTB_Dien_TAM" xfId="530"/>
    <cellStyle name="_TG-TH_1_Book1_Kiem Tra Don Gia" xfId="532"/>
    <cellStyle name="_TG-TH_1_Book1_khoiluongbdacdoa" xfId="531"/>
    <cellStyle name="_TG-TH_1_Book1_Tong hop 3 tinh (11_5)-TTH-QN-QT" xfId="533"/>
    <cellStyle name="_TG-TH_1_Book1_" xfId="534"/>
    <cellStyle name="_TG-TH_1_CAU Khanh Nam(Thi Cong)" xfId="535"/>
    <cellStyle name="_TG-TH_1_DAU NOI PL-CL TAI PHU LAMHC" xfId="536"/>
    <cellStyle name="_TG-TH_1_Dcdtoan-bcnckt " xfId="537"/>
    <cellStyle name="_TG-TH_1_DN_MTP" xfId="538"/>
    <cellStyle name="_TG-TH_1_Dongia2-2003" xfId="539"/>
    <cellStyle name="_TG-TH_1_Dongia2-2003_DT truong thinh phu" xfId="540"/>
    <cellStyle name="_TG-TH_1_DT truong thinh phu" xfId="541"/>
    <cellStyle name="_TG-TH_1_DTCDT MR.2N110.HOCMON.TDTOAN.CCUNG" xfId="542"/>
    <cellStyle name="_TG-TH_1_DTDuong dong tien -sua tham tra 2009 - luong 650" xfId="543"/>
    <cellStyle name="_TG-TH_1_DU TRU VAT TU" xfId="544"/>
    <cellStyle name="_TG-TH_1_Kiem Tra Don Gia" xfId="546"/>
    <cellStyle name="_TG-TH_1_khoiluongbdacdoa" xfId="545"/>
    <cellStyle name="_TG-TH_1_Lora-tungchau" xfId="547"/>
    <cellStyle name="_TG-TH_1_moi" xfId="548"/>
    <cellStyle name="_TG-TH_1_PGIA-phieu tham tra Kho bac" xfId="549"/>
    <cellStyle name="_TG-TH_1_PT02-02" xfId="550"/>
    <cellStyle name="_TG-TH_1_PT02-02_Book1" xfId="551"/>
    <cellStyle name="_TG-TH_1_PT02-03" xfId="552"/>
    <cellStyle name="_TG-TH_1_PT02-03_Book1" xfId="553"/>
    <cellStyle name="_TG-TH_1_Qt-HT3PQ1(CauKho)" xfId="554"/>
    <cellStyle name="_TG-TH_1_Qt-HT3PQ1(CauKho)_Book1" xfId="555"/>
    <cellStyle name="_TG-TH_1_Qt-HT3PQ1(CauKho)_Don gia quy 3 nam 2003 - Ban Dien Luc" xfId="556"/>
    <cellStyle name="_TG-TH_1_Qt-HT3PQ1(CauKho)_Kiem Tra Don Gia" xfId="557"/>
    <cellStyle name="_TG-TH_1_Qt-HT3PQ1(CauKho)_NC-VL2-2003" xfId="558"/>
    <cellStyle name="_TG-TH_1_Qt-HT3PQ1(CauKho)_NC-VL2-2003_1" xfId="559"/>
    <cellStyle name="_TG-TH_1_Qt-HT3PQ1(CauKho)_XL4Test5" xfId="560"/>
    <cellStyle name="_TG-TH_1_QT-LCTP-AE" xfId="561"/>
    <cellStyle name="_TG-TH_1_Sheet2" xfId="562"/>
    <cellStyle name="_TG-TH_1_TEL OUT 2004" xfId="563"/>
    <cellStyle name="_TG-TH_1_Tong hop 3 tinh (11_5)-TTH-QN-QT" xfId="564"/>
    <cellStyle name="_TG-TH_1_XL4Poppy" xfId="565"/>
    <cellStyle name="_TG-TH_1_XL4Test5" xfId="566"/>
    <cellStyle name="_TG-TH_1_ÿÿÿÿÿ" xfId="567"/>
    <cellStyle name="_TG-TH_1_" xfId="568"/>
    <cellStyle name="_TG-TH_2" xfId="569"/>
    <cellStyle name="_TG-TH_2_BANG TONG HOP TINH HINH THANH QUYET TOAN (MOI I)" xfId="570"/>
    <cellStyle name="_TG-TH_2_BAO CAO KLCT PT2000" xfId="571"/>
    <cellStyle name="_TG-TH_2_BAO CAO PT2000" xfId="572"/>
    <cellStyle name="_TG-TH_2_BAO CAO PT2000_Book1" xfId="573"/>
    <cellStyle name="_TG-TH_2_Bao cao XDCB 2001 - T11 KH dieu chinh 20-11-THAI" xfId="574"/>
    <cellStyle name="_TG-TH_2_BAO GIA NGAY 24-10-08 (co dam)" xfId="575"/>
    <cellStyle name="_TG-TH_2_Biểu KH 5 năm gửi UB sửa biểu VHXH" xfId="576"/>
    <cellStyle name="_TG-TH_2_Book1" xfId="577"/>
    <cellStyle name="_TG-TH_2_Book1_1" xfId="578"/>
    <cellStyle name="_TG-TH_2_Book1_1_Book1" xfId="579"/>
    <cellStyle name="_TG-TH_2_Book1_1_DanhMucDonGiaVTTB_Dien_TAM" xfId="580"/>
    <cellStyle name="_TG-TH_2_Book1_1_khoiluongbdacdoa" xfId="581"/>
    <cellStyle name="_TG-TH_2_Book1_2" xfId="582"/>
    <cellStyle name="_TG-TH_2_Book1_2_Book1" xfId="583"/>
    <cellStyle name="_TG-TH_2_Book1_3" xfId="584"/>
    <cellStyle name="_TG-TH_2_Book1_3_Book1" xfId="585"/>
    <cellStyle name="_TG-TH_2_Book1_3_DT truong thinh phu" xfId="586"/>
    <cellStyle name="_TG-TH_2_Book1_3_XL4Test5" xfId="587"/>
    <cellStyle name="_TG-TH_2_Book1_4" xfId="588"/>
    <cellStyle name="_TG-TH_2_Book1_Book1" xfId="589"/>
    <cellStyle name="_TG-TH_2_Book1_DanhMucDonGiaVTTB_Dien_TAM" xfId="590"/>
    <cellStyle name="_TG-TH_2_Book1_Kiem Tra Don Gia" xfId="592"/>
    <cellStyle name="_TG-TH_2_Book1_khoiluongbdacdoa" xfId="591"/>
    <cellStyle name="_TG-TH_2_Book1_Tong hop 3 tinh (11_5)-TTH-QN-QT" xfId="593"/>
    <cellStyle name="_TG-TH_2_Book1_" xfId="594"/>
    <cellStyle name="_TG-TH_2_CAU Khanh Nam(Thi Cong)" xfId="595"/>
    <cellStyle name="_TG-TH_2_DAU NOI PL-CL TAI PHU LAMHC" xfId="596"/>
    <cellStyle name="_TG-TH_2_Dcdtoan-bcnckt " xfId="597"/>
    <cellStyle name="_TG-TH_2_DN_MTP" xfId="598"/>
    <cellStyle name="_TG-TH_2_Dongia2-2003" xfId="599"/>
    <cellStyle name="_TG-TH_2_Dongia2-2003_DT truong thinh phu" xfId="600"/>
    <cellStyle name="_TG-TH_2_DT truong thinh phu" xfId="601"/>
    <cellStyle name="_TG-TH_2_DTCDT MR.2N110.HOCMON.TDTOAN.CCUNG" xfId="602"/>
    <cellStyle name="_TG-TH_2_DTDuong dong tien -sua tham tra 2009 - luong 650" xfId="603"/>
    <cellStyle name="_TG-TH_2_DU TRU VAT TU" xfId="604"/>
    <cellStyle name="_TG-TH_2_Kiem Tra Don Gia" xfId="606"/>
    <cellStyle name="_TG-TH_2_khoiluongbdacdoa" xfId="605"/>
    <cellStyle name="_TG-TH_2_Lora-tungchau" xfId="607"/>
    <cellStyle name="_TG-TH_2_moi" xfId="608"/>
    <cellStyle name="_TG-TH_2_PGIA-phieu tham tra Kho bac" xfId="609"/>
    <cellStyle name="_TG-TH_2_PT02-02" xfId="610"/>
    <cellStyle name="_TG-TH_2_PT02-02_Book1" xfId="611"/>
    <cellStyle name="_TG-TH_2_PT02-03" xfId="612"/>
    <cellStyle name="_TG-TH_2_PT02-03_Book1" xfId="613"/>
    <cellStyle name="_TG-TH_2_Qt-HT3PQ1(CauKho)" xfId="614"/>
    <cellStyle name="_TG-TH_2_Qt-HT3PQ1(CauKho)_Book1" xfId="615"/>
    <cellStyle name="_TG-TH_2_Qt-HT3PQ1(CauKho)_Don gia quy 3 nam 2003 - Ban Dien Luc" xfId="616"/>
    <cellStyle name="_TG-TH_2_Qt-HT3PQ1(CauKho)_Kiem Tra Don Gia" xfId="617"/>
    <cellStyle name="_TG-TH_2_Qt-HT3PQ1(CauKho)_NC-VL2-2003" xfId="618"/>
    <cellStyle name="_TG-TH_2_Qt-HT3PQ1(CauKho)_NC-VL2-2003_1" xfId="619"/>
    <cellStyle name="_TG-TH_2_Qt-HT3PQ1(CauKho)_XL4Test5" xfId="620"/>
    <cellStyle name="_TG-TH_2_QT-LCTP-AE" xfId="621"/>
    <cellStyle name="_TG-TH_2_quy luong con lai nam 2004" xfId="622"/>
    <cellStyle name="_TG-TH_2_Sheet2" xfId="623"/>
    <cellStyle name="_TG-TH_2_TEL OUT 2004" xfId="624"/>
    <cellStyle name="_TG-TH_2_Tong hop 3 tinh (11_5)-TTH-QN-QT" xfId="625"/>
    <cellStyle name="_TG-TH_2_XL4Poppy" xfId="626"/>
    <cellStyle name="_TG-TH_2_XL4Test5" xfId="627"/>
    <cellStyle name="_TG-TH_2_ÿÿÿÿÿ" xfId="628"/>
    <cellStyle name="_TG-TH_2_" xfId="629"/>
    <cellStyle name="_TG-TH_3" xfId="630"/>
    <cellStyle name="_TG-TH_3_Book1" xfId="631"/>
    <cellStyle name="_TG-TH_3_Lora-tungchau" xfId="632"/>
    <cellStyle name="_TG-TH_3_Qt-HT3PQ1(CauKho)" xfId="633"/>
    <cellStyle name="_TG-TH_3_Qt-HT3PQ1(CauKho)_Book1" xfId="634"/>
    <cellStyle name="_TG-TH_3_Qt-HT3PQ1(CauKho)_Don gia quy 3 nam 2003 - Ban Dien Luc" xfId="635"/>
    <cellStyle name="_TG-TH_3_Qt-HT3PQ1(CauKho)_Kiem Tra Don Gia" xfId="636"/>
    <cellStyle name="_TG-TH_3_Qt-HT3PQ1(CauKho)_NC-VL2-2003" xfId="637"/>
    <cellStyle name="_TG-TH_3_Qt-HT3PQ1(CauKho)_NC-VL2-2003_1" xfId="638"/>
    <cellStyle name="_TG-TH_3_Qt-HT3PQ1(CauKho)_XL4Test5" xfId="639"/>
    <cellStyle name="_TG-TH_3_quy luong con lai nam 2004" xfId="640"/>
    <cellStyle name="_TG-TH_3_" xfId="641"/>
    <cellStyle name="_TG-TH_4" xfId="642"/>
    <cellStyle name="_TG-TH_4_Book1" xfId="643"/>
    <cellStyle name="_TG-TH_4_DTDuong dong tien -sua tham tra 2009 - luong 650" xfId="644"/>
    <cellStyle name="_TG-TH_4_quy luong con lai nam 2004" xfId="645"/>
    <cellStyle name="_TKP" xfId="647"/>
    <cellStyle name="_Tong dutoan PP LAHAI" xfId="648"/>
    <cellStyle name="_Tong hop 3 tinh (11_5)-TTH-QN-QT" xfId="649"/>
    <cellStyle name="_Tong hop may cheu nganh 1" xfId="650"/>
    <cellStyle name="_TH KHAI TOAN THU THIEM cac tuyen TT noi" xfId="646"/>
    <cellStyle name="_ung 2011 - 11-6-Thanh hoa-Nghe an" xfId="651"/>
    <cellStyle name="_ung truoc 2011 NSTW Thanh Hoa + Nge An gui Thu 12-5" xfId="652"/>
    <cellStyle name="_ung truoc cua long an (6-5-2010)" xfId="653"/>
    <cellStyle name="_ung von chinh thuc doan kiem tra TAY NAM BO" xfId="654"/>
    <cellStyle name="_Ung von nam 2011 vung TNB - Doan Cong tac (12-5-2010)" xfId="655"/>
    <cellStyle name="_Ung von nam 2011 vung TNB - Doan Cong tac (12-5-2010)_Copy of ghep 3 bieu trinh LD BO 28-6 (TPCP)" xfId="656"/>
    <cellStyle name="_ÿÿÿÿÿ" xfId="657"/>
    <cellStyle name="_ÿÿÿÿÿ_Kh ql62 (2010) 11-09" xfId="658"/>
    <cellStyle name="_" xfId="659"/>
    <cellStyle name="__1" xfId="660"/>
    <cellStyle name="__Bao gia TB Kon Dao 2010" xfId="661"/>
    <cellStyle name="~1" xfId="662"/>
    <cellStyle name="’Ê‰Ý [0.00]_laroux" xfId="663"/>
    <cellStyle name="’Ê‰Ý_laroux" xfId="664"/>
    <cellStyle name="•W?_Format" xfId="665"/>
    <cellStyle name="•W€_¯–ì" xfId="666"/>
    <cellStyle name="•W_¯–ì" xfId="667"/>
    <cellStyle name="W_MARINE" xfId="668"/>
    <cellStyle name="0" xfId="669"/>
    <cellStyle name="0.0" xfId="670"/>
    <cellStyle name="0.00" xfId="671"/>
    <cellStyle name="1" xfId="672"/>
    <cellStyle name="1_17 bieu (hung cap nhap)" xfId="673"/>
    <cellStyle name="1_7 noi 48 goi C5 9 vi na" xfId="674"/>
    <cellStyle name="1_BANG KE VAT TU" xfId="675"/>
    <cellStyle name="1_Bao cao doan cong tac cua Bo thang 4-2010" xfId="676"/>
    <cellStyle name="1_Bao cao giai ngan von dau tu nam 2009 (theo doi)" xfId="677"/>
    <cellStyle name="1_Bao cao giai ngan von dau tu nam 2009 (theo doi)_Bao cao doan cong tac cua Bo thang 4-2010" xfId="678"/>
    <cellStyle name="1_Bao cao giai ngan von dau tu nam 2009 (theo doi)_Ke hoach 2009 (theo doi) -1" xfId="679"/>
    <cellStyle name="1_Bao cao KP tu chu" xfId="680"/>
    <cellStyle name="1_BAO GIA NGAY 24-10-08 (co dam)" xfId="681"/>
    <cellStyle name="1_Bao gia TB Kon Dao 2010" xfId="682"/>
    <cellStyle name="1_BC 8 thang 2009 ve CT trong diem 5nam" xfId="683"/>
    <cellStyle name="1_BC 8 thang 2009 ve CT trong diem 5nam_Bao cao doan cong tac cua Bo thang 4-2010" xfId="684"/>
    <cellStyle name="1_BC 8 thang 2009 ve CT trong diem 5nam_bieu 01" xfId="685"/>
    <cellStyle name="1_BC 8 thang 2009 ve CT trong diem 5nam_bieu 01_Bao cao doan cong tac cua Bo thang 4-2010" xfId="686"/>
    <cellStyle name="1_BC nam 2007 (UB)" xfId="687"/>
    <cellStyle name="1_BC nam 2007 (UB)_Bao cao doan cong tac cua Bo thang 4-2010" xfId="688"/>
    <cellStyle name="1_BC-tuchu-07DRV" xfId="689"/>
    <cellStyle name="1_bieu tong hop" xfId="690"/>
    <cellStyle name="1_Book1" xfId="691"/>
    <cellStyle name="1_Book1_1" xfId="692"/>
    <cellStyle name="1_Book1_1_VBPL kiểm toán Đầu tư XDCB 2010" xfId="693"/>
    <cellStyle name="1_Book1_Bao cao doan cong tac cua Bo thang 4-2010" xfId="694"/>
    <cellStyle name="1_Book1_BL vu" xfId="695"/>
    <cellStyle name="1_Book1_Book1" xfId="696"/>
    <cellStyle name="1_Book1_Gia - Thanh An" xfId="697"/>
    <cellStyle name="1_Book1_VBPL kiểm toán Đầu tư XDCB 2010" xfId="698"/>
    <cellStyle name="1_Book2" xfId="699"/>
    <cellStyle name="1_Book2_Bao cao doan cong tac cua Bo thang 4-2010" xfId="700"/>
    <cellStyle name="1_Cau thuy dien Ban La (Cu Anh)" xfId="701"/>
    <cellStyle name="1_Copy of ghep 3 bieu trinh LD BO 28-6 (TPCP)" xfId="702"/>
    <cellStyle name="1_Danh sach gui BC thuc hien KH2009" xfId="703"/>
    <cellStyle name="1_Danh sach gui BC thuc hien KH2009_Bao cao doan cong tac cua Bo thang 4-2010" xfId="704"/>
    <cellStyle name="1_Danh sach gui BC thuc hien KH2009_Ke hoach 2009 (theo doi) -1" xfId="705"/>
    <cellStyle name="1_Don gia Du thau ( XL19)" xfId="706"/>
    <cellStyle name="1_DT972000" xfId="707"/>
    <cellStyle name="1_dtCau Km3+429,21TL685" xfId="708"/>
    <cellStyle name="1_Dtdchinh2397" xfId="709"/>
    <cellStyle name="1_Du toan 558 (Km17+508.12 - Km 22)" xfId="711"/>
    <cellStyle name="1_du toan lan 3" xfId="712"/>
    <cellStyle name="1_Du thau" xfId="710"/>
    <cellStyle name="1_Gia - Thanh An" xfId="713"/>
    <cellStyle name="1_Gia_VLQL48_duyet " xfId="714"/>
    <cellStyle name="1_GIA-DUTHAUsuaNS" xfId="715"/>
    <cellStyle name="1_KL km 0-km3+300 dieu chinh 4-2008" xfId="720"/>
    <cellStyle name="1_KLNM 1303" xfId="721"/>
    <cellStyle name="1_KlQdinhduyet" xfId="722"/>
    <cellStyle name="1_KH 2007 (theo doi)" xfId="716"/>
    <cellStyle name="1_KH 2007 (theo doi)_Bao cao doan cong tac cua Bo thang 4-2010" xfId="717"/>
    <cellStyle name="1_Kh ql62 (2010) 11-09" xfId="718"/>
    <cellStyle name="1_khoiluongbdacdoa" xfId="719"/>
    <cellStyle name="1_LuuNgay17-03-2009Đơn KN Cục thuế" xfId="723"/>
    <cellStyle name="1_NTHOC" xfId="724"/>
    <cellStyle name="1_NTHOC_Tong hop theo doi von TPCP" xfId="725"/>
    <cellStyle name="1_NTHOC_Tong hop theo doi von TPCP_Bao cao kiem toan kh 2010" xfId="726"/>
    <cellStyle name="1_NTHOC_Tong hop theo doi von TPCP_Ke hoach 2010 (theo doi)2" xfId="727"/>
    <cellStyle name="1_NTHOC_Tong hop theo doi von TPCP_QD UBND tinh" xfId="728"/>
    <cellStyle name="1_NTHOC_Tong hop theo doi von TPCP_Worksheet in D: My Documents Luc Van ban xu ly Nam 2011 Bao cao ra soat tam ung TPCP" xfId="729"/>
    <cellStyle name="1_QT Thue GTGT 2008" xfId="730"/>
    <cellStyle name="1_Ra soat Giai ngan 2007 (dang lam)" xfId="731"/>
    <cellStyle name="1_TonghopKL_BOY-sual2" xfId="735"/>
    <cellStyle name="1_Theo doi von TPCP (dang lam)" xfId="732"/>
    <cellStyle name="1_Thong ke cong" xfId="733"/>
    <cellStyle name="1_thong ke giao dan sinh" xfId="734"/>
    <cellStyle name="1_TRUNG PMU 5" xfId="736"/>
    <cellStyle name="1_VBPL kiểm toán Đầu tư XDCB 2010" xfId="737"/>
    <cellStyle name="1_ÿÿÿÿÿ" xfId="738"/>
    <cellStyle name="1_ÿÿÿÿÿ_Bieu tong hop nhu cau ung 2011 da chon loc -Mien nui" xfId="739"/>
    <cellStyle name="1_ÿÿÿÿÿ_Kh ql62 (2010) 11-09" xfId="740"/>
    <cellStyle name="1_ÿÿÿÿÿ_mau bieu doan giam sat 2010 (version 2)" xfId="741"/>
    <cellStyle name="1_ÿÿÿÿÿ_VBPL kiểm toán Đầu tư XDCB 2010" xfId="742"/>
    <cellStyle name="1_" xfId="743"/>
    <cellStyle name="15" xfId="744"/>
    <cellStyle name="18" xfId="745"/>
    <cellStyle name="¹éºÐÀ²_      " xfId="746"/>
    <cellStyle name="2" xfId="747"/>
    <cellStyle name="2_7 noi 48 goi C5 9 vi na" xfId="748"/>
    <cellStyle name="2_BL vu" xfId="749"/>
    <cellStyle name="2_Book1" xfId="750"/>
    <cellStyle name="2_Book1_1" xfId="751"/>
    <cellStyle name="2_Book1_Bao cao kiem toan kh 2010" xfId="752"/>
    <cellStyle name="2_Book1_Ke hoach 2010 (theo doi)2" xfId="753"/>
    <cellStyle name="2_Book1_QD UBND tinh" xfId="754"/>
    <cellStyle name="2_Book1_VBPL kiểm toán Đầu tư XDCB 2010" xfId="755"/>
    <cellStyle name="2_Book1_Worksheet in D: My Documents Luc Van ban xu ly Nam 2011 Bao cao ra soat tam ung TPCP" xfId="756"/>
    <cellStyle name="2_Cau thuy dien Ban La (Cu Anh)" xfId="757"/>
    <cellStyle name="2_Dtdchinh2397" xfId="758"/>
    <cellStyle name="2_Du toan 558 (Km17+508.12 - Km 22)" xfId="759"/>
    <cellStyle name="2_Gia_VLQL48_duyet " xfId="760"/>
    <cellStyle name="2_KLNM 1303" xfId="761"/>
    <cellStyle name="2_KlQdinhduyet" xfId="762"/>
    <cellStyle name="2_NTHOC" xfId="763"/>
    <cellStyle name="2_NTHOC_Tong hop theo doi von TPCP" xfId="764"/>
    <cellStyle name="2_NTHOC_Tong hop theo doi von TPCP_Bao cao kiem toan kh 2010" xfId="765"/>
    <cellStyle name="2_NTHOC_Tong hop theo doi von TPCP_Ke hoach 2010 (theo doi)2" xfId="766"/>
    <cellStyle name="2_NTHOC_Tong hop theo doi von TPCP_QD UBND tinh" xfId="767"/>
    <cellStyle name="2_NTHOC_Tong hop theo doi von TPCP_Worksheet in D: My Documents Luc Van ban xu ly Nam 2011 Bao cao ra soat tam ung TPCP" xfId="768"/>
    <cellStyle name="2_Tong hop theo doi von TPCP" xfId="771"/>
    <cellStyle name="2_Tong hop theo doi von TPCP_Bao cao kiem toan kh 2010" xfId="772"/>
    <cellStyle name="2_Tong hop theo doi von TPCP_Ke hoach 2010 (theo doi)2" xfId="773"/>
    <cellStyle name="2_Tong hop theo doi von TPCP_QD UBND tinh" xfId="774"/>
    <cellStyle name="2_Tong hop theo doi von TPCP_Worksheet in D: My Documents Luc Van ban xu ly Nam 2011 Bao cao ra soat tam ung TPCP" xfId="775"/>
    <cellStyle name="2_Thong ke cong" xfId="769"/>
    <cellStyle name="2_thong ke giao dan sinh" xfId="770"/>
    <cellStyle name="2_TRUNG PMU 5" xfId="776"/>
    <cellStyle name="2_VBPL kiểm toán Đầu tư XDCB 2010" xfId="777"/>
    <cellStyle name="2_ÿÿÿÿÿ" xfId="778"/>
    <cellStyle name="2_ÿÿÿÿÿ_Bieu tong hop nhu cau ung 2011 da chon loc -Mien nui" xfId="779"/>
    <cellStyle name="2_ÿÿÿÿÿ_mau bieu doan giam sat 2010 (version 2)" xfId="780"/>
    <cellStyle name="20" xfId="781"/>
    <cellStyle name="20% - Accent1 2" xfId="782"/>
    <cellStyle name="20% - Accent2 2" xfId="783"/>
    <cellStyle name="20% - Accent3 2" xfId="784"/>
    <cellStyle name="20% - Accent4 2" xfId="785"/>
    <cellStyle name="20% - Accent5 2" xfId="786"/>
    <cellStyle name="20% - Accent6 2" xfId="787"/>
    <cellStyle name="20% - Nhấn1" xfId="788"/>
    <cellStyle name="20% - Nhấn2" xfId="789"/>
    <cellStyle name="20% - Nhấn3" xfId="790"/>
    <cellStyle name="20% - Nhấn4" xfId="791"/>
    <cellStyle name="20% - Nhấn5" xfId="792"/>
    <cellStyle name="20% - Nhấn6" xfId="793"/>
    <cellStyle name="-2001" xfId="794"/>
    <cellStyle name="3" xfId="795"/>
    <cellStyle name="3_7 noi 48 goi C5 9 vi na" xfId="796"/>
    <cellStyle name="3_Book1" xfId="797"/>
    <cellStyle name="3_Book1_1" xfId="798"/>
    <cellStyle name="3_Cau thuy dien Ban La (Cu Anh)" xfId="799"/>
    <cellStyle name="3_Dtdchinh2397" xfId="800"/>
    <cellStyle name="3_Du toan 558 (Km17+508.12 - Km 22)" xfId="801"/>
    <cellStyle name="3_Gia_VLQL48_duyet " xfId="802"/>
    <cellStyle name="3_KLNM 1303" xfId="803"/>
    <cellStyle name="3_KlQdinhduyet" xfId="804"/>
    <cellStyle name="3_Thong ke cong" xfId="805"/>
    <cellStyle name="3_thong ke giao dan sinh" xfId="806"/>
    <cellStyle name="3_VBPL kiểm toán Đầu tư XDCB 2010" xfId="807"/>
    <cellStyle name="3_ÿÿÿÿÿ" xfId="808"/>
    <cellStyle name="4" xfId="809"/>
    <cellStyle name="4_7 noi 48 goi C5 9 vi na" xfId="810"/>
    <cellStyle name="4_Book1" xfId="811"/>
    <cellStyle name="4_Book1_1" xfId="812"/>
    <cellStyle name="4_Cau thuy dien Ban La (Cu Anh)" xfId="813"/>
    <cellStyle name="4_Dtdchinh2397" xfId="814"/>
    <cellStyle name="4_Du toan 558 (Km17+508.12 - Km 22)" xfId="815"/>
    <cellStyle name="4_Gia_VLQL48_duyet " xfId="816"/>
    <cellStyle name="4_KLNM 1303" xfId="817"/>
    <cellStyle name="4_KlQdinhduyet" xfId="818"/>
    <cellStyle name="4_Thong ke cong" xfId="819"/>
    <cellStyle name="4_thong ke giao dan sinh" xfId="820"/>
    <cellStyle name="4_ÿÿÿÿÿ" xfId="821"/>
    <cellStyle name="40% - Accent1 2" xfId="822"/>
    <cellStyle name="40% - Accent2 2" xfId="823"/>
    <cellStyle name="40% - Accent3 2" xfId="824"/>
    <cellStyle name="40% - Accent4 2" xfId="825"/>
    <cellStyle name="40% - Accent5 2" xfId="826"/>
    <cellStyle name="40% - Accent6 2" xfId="827"/>
    <cellStyle name="40% - Nhấn1" xfId="828"/>
    <cellStyle name="40% - Nhấn2" xfId="829"/>
    <cellStyle name="40% - Nhấn3" xfId="830"/>
    <cellStyle name="40% - Nhấn4" xfId="831"/>
    <cellStyle name="40% - Nhấn5" xfId="832"/>
    <cellStyle name="40% - Nhấn6" xfId="833"/>
    <cellStyle name="52" xfId="834"/>
    <cellStyle name="6" xfId="835"/>
    <cellStyle name="6_Bieu mau ung 2011-Mien Trung-TPCP-11-6" xfId="836"/>
    <cellStyle name="6_Copy of ghep 3 bieu trinh LD BO 28-6 (TPCP)" xfId="837"/>
    <cellStyle name="6_DTDuong dong tien -sua tham tra 2009 - luong 650" xfId="838"/>
    <cellStyle name="6_Nhu cau tam ung NSNN&amp;TPCP&amp;ODA theo tieu chi cua Bo (CV410_BKH-TH)_vung Tay Nguyen (11.6.2010)" xfId="839"/>
    <cellStyle name="60% - Accent1 2" xfId="840"/>
    <cellStyle name="60% - Accent2 2" xfId="841"/>
    <cellStyle name="60% - Accent3 2" xfId="842"/>
    <cellStyle name="60% - Accent4 2" xfId="843"/>
    <cellStyle name="60% - Accent5 2" xfId="844"/>
    <cellStyle name="60% - Accent6 2" xfId="845"/>
    <cellStyle name="60% - Nhấn1" xfId="846"/>
    <cellStyle name="60% - Nhấn2" xfId="847"/>
    <cellStyle name="60% - Nhấn3" xfId="848"/>
    <cellStyle name="60% - Nhấn4" xfId="849"/>
    <cellStyle name="60% - Nhấn5" xfId="850"/>
    <cellStyle name="60% - Nhấn6" xfId="851"/>
    <cellStyle name="9" xfId="852"/>
    <cellStyle name="Accent1 2" xfId="853"/>
    <cellStyle name="Accent2 2" xfId="854"/>
    <cellStyle name="Accent3 2" xfId="855"/>
    <cellStyle name="Accent4 2" xfId="856"/>
    <cellStyle name="Accent5 2" xfId="857"/>
    <cellStyle name="Accent6 2" xfId="858"/>
    <cellStyle name="ÅëÈ­ [0]_      " xfId="859"/>
    <cellStyle name="AeE­ [0]_INQUIRY ¿?¾÷AßAø " xfId="860"/>
    <cellStyle name="ÅëÈ­ [0]_L601CPT" xfId="861"/>
    <cellStyle name="ÅëÈ­_      " xfId="862"/>
    <cellStyle name="AeE­_INQUIRY ¿?¾÷AßAø " xfId="863"/>
    <cellStyle name="ÅëÈ­_L601CPT" xfId="864"/>
    <cellStyle name="args.style" xfId="865"/>
    <cellStyle name="at" xfId="866"/>
    <cellStyle name="ÄÞ¸¶ [0]_      " xfId="867"/>
    <cellStyle name="AÞ¸¶ [0]_INQUIRY ¿?¾÷AßAø " xfId="868"/>
    <cellStyle name="ÄÞ¸¶ [0]_L601CPT" xfId="869"/>
    <cellStyle name="ÄÞ¸¶_      " xfId="870"/>
    <cellStyle name="AÞ¸¶_INQUIRY ¿?¾÷AßAø " xfId="871"/>
    <cellStyle name="ÄÞ¸¶_L601CPT" xfId="872"/>
    <cellStyle name="AutoFormat Options" xfId="873"/>
    <cellStyle name="AutoFormat-Optionen" xfId="874"/>
    <cellStyle name="AutoFormat-Optionen 10 2" xfId="875"/>
    <cellStyle name="AutoFormat-Optionen 2" xfId="876"/>
    <cellStyle name="AutoFormat-Optionen 2 2" xfId="877"/>
    <cellStyle name="AutoFormat-Optionen 3" xfId="878"/>
    <cellStyle name="AutoFormat-Optionen_04.06  GUI HA DT HUYEN MOI" xfId="879"/>
    <cellStyle name="Bad 2" xfId="880"/>
    <cellStyle name="Body" xfId="881"/>
    <cellStyle name="C?AØ_¿?¾÷CoE² " xfId="882"/>
    <cellStyle name="C~1" xfId="883"/>
    <cellStyle name="Ç¥ÁØ_      " xfId="884"/>
    <cellStyle name="C￥AØ_¿μ¾÷CoE² " xfId="885"/>
    <cellStyle name="Ç¥ÁØ_±¸¹Ì´ëÃ¥" xfId="886"/>
    <cellStyle name="C￥AØ_Sheet1_¿μ¾÷CoE² " xfId="887"/>
    <cellStyle name="Ç¥ÁØ_ÿÿÿÿÿÿ_4_ÃÑÇÕ°è " xfId="888"/>
    <cellStyle name="Calc Currency (0)" xfId="889"/>
    <cellStyle name="Calc Currency (2)" xfId="890"/>
    <cellStyle name="Calc Percent (0)" xfId="891"/>
    <cellStyle name="Calc Percent (1)" xfId="892"/>
    <cellStyle name="Calc Percent (2)" xfId="893"/>
    <cellStyle name="Calc Units (0)" xfId="894"/>
    <cellStyle name="Calc Units (1)" xfId="895"/>
    <cellStyle name="Calc Units (2)" xfId="896"/>
    <cellStyle name="Calculation 2" xfId="897"/>
    <cellStyle name="category" xfId="898"/>
    <cellStyle name="Cerrency_Sheet2_XANGDAU" xfId="899"/>
    <cellStyle name="Co?ma_Sheet1" xfId="905"/>
    <cellStyle name="Comma" xfId="906" builtinId="3"/>
    <cellStyle name="Comma  - Style1" xfId="907"/>
    <cellStyle name="Comma  - Style2" xfId="908"/>
    <cellStyle name="Comma  - Style3" xfId="909"/>
    <cellStyle name="Comma  - Style4" xfId="910"/>
    <cellStyle name="Comma  - Style5" xfId="911"/>
    <cellStyle name="Comma  - Style6" xfId="912"/>
    <cellStyle name="Comma  - Style7" xfId="913"/>
    <cellStyle name="Comma  - Style8" xfId="914"/>
    <cellStyle name="Comma [0] 2" xfId="915"/>
    <cellStyle name="Comma [0] 2 10" xfId="916"/>
    <cellStyle name="Comma [0] 2 2" xfId="917"/>
    <cellStyle name="Comma [0] 3" xfId="918"/>
    <cellStyle name="Comma [0] 4" xfId="919"/>
    <cellStyle name="Comma [0] 5" xfId="920"/>
    <cellStyle name="Comma [0] 6" xfId="921"/>
    <cellStyle name="Comma [00]" xfId="922"/>
    <cellStyle name="Comma 10" xfId="923"/>
    <cellStyle name="Comma 10 2" xfId="924"/>
    <cellStyle name="Comma 10 2 2" xfId="925"/>
    <cellStyle name="Comma 10 3" xfId="926"/>
    <cellStyle name="Comma 11" xfId="927"/>
    <cellStyle name="Comma 11 2" xfId="928"/>
    <cellStyle name="Comma 12" xfId="929"/>
    <cellStyle name="Comma 13" xfId="930"/>
    <cellStyle name="Comma 13 2" xfId="931"/>
    <cellStyle name="Comma 13 2 2" xfId="932"/>
    <cellStyle name="Comma 13 3" xfId="933"/>
    <cellStyle name="Comma 14" xfId="934"/>
    <cellStyle name="Comma 15" xfId="935"/>
    <cellStyle name="Comma 16" xfId="936"/>
    <cellStyle name="Comma 16 3 2 2 2 3" xfId="937"/>
    <cellStyle name="Comma 17" xfId="938"/>
    <cellStyle name="Comma 18" xfId="939"/>
    <cellStyle name="Comma 19" xfId="940"/>
    <cellStyle name="Comma 2" xfId="941"/>
    <cellStyle name="Comma 2 10" xfId="942"/>
    <cellStyle name="Comma 2 11" xfId="943"/>
    <cellStyle name="Comma 2 2" xfId="944"/>
    <cellStyle name="Comma 2 2 2" xfId="945"/>
    <cellStyle name="Comma 2 2 3" xfId="946"/>
    <cellStyle name="Comma 2 2 4" xfId="947"/>
    <cellStyle name="Comma 2 3" xfId="948"/>
    <cellStyle name="Comma 2 3 2" xfId="949"/>
    <cellStyle name="Comma 2 4" xfId="950"/>
    <cellStyle name="Comma 2 4 2" xfId="951"/>
    <cellStyle name="Comma 2 5" xfId="952"/>
    <cellStyle name="Comma 2 5 2" xfId="953"/>
    <cellStyle name="Comma 2 5 3" xfId="954"/>
    <cellStyle name="Comma 2 5 4" xfId="955"/>
    <cellStyle name="Comma 2 5 5" xfId="956"/>
    <cellStyle name="Comma 2 5 6" xfId="957"/>
    <cellStyle name="Comma 2 6" xfId="958"/>
    <cellStyle name="Comma 2 6 2" xfId="959"/>
    <cellStyle name="Comma 2 6 3" xfId="960"/>
    <cellStyle name="Comma 2 7" xfId="961"/>
    <cellStyle name="Comma 2 8" xfId="962"/>
    <cellStyle name="Comma 2 9" xfId="963"/>
    <cellStyle name="Comma 2_Book1" xfId="964"/>
    <cellStyle name="Comma 20" xfId="965"/>
    <cellStyle name="Comma 20 2 2" xfId="966"/>
    <cellStyle name="Comma 21" xfId="967"/>
    <cellStyle name="Comma 21 2" xfId="968"/>
    <cellStyle name="Comma 21 3" xfId="969"/>
    <cellStyle name="Comma 21 4" xfId="970"/>
    <cellStyle name="Comma 21 5" xfId="971"/>
    <cellStyle name="Comma 21 6" xfId="972"/>
    <cellStyle name="Comma 22" xfId="973"/>
    <cellStyle name="Comma 22 2" xfId="974"/>
    <cellStyle name="Comma 22 3" xfId="975"/>
    <cellStyle name="Comma 23" xfId="976"/>
    <cellStyle name="Comma 23 2" xfId="977"/>
    <cellStyle name="Comma 24" xfId="978"/>
    <cellStyle name="Comma 25" xfId="979"/>
    <cellStyle name="Comma 25 2" xfId="980"/>
    <cellStyle name="Comma 26" xfId="981"/>
    <cellStyle name="Comma 27" xfId="982"/>
    <cellStyle name="Comma 28" xfId="983"/>
    <cellStyle name="Comma 29" xfId="984"/>
    <cellStyle name="Comma 29 2" xfId="985"/>
    <cellStyle name="Comma 29 2 2" xfId="986"/>
    <cellStyle name="Comma 3" xfId="987"/>
    <cellStyle name="Comma 3 10" xfId="988"/>
    <cellStyle name="Comma 3 2" xfId="989"/>
    <cellStyle name="Comma 3 3" xfId="990"/>
    <cellStyle name="Comma 3 4" xfId="991"/>
    <cellStyle name="Comma 3 5" xfId="992"/>
    <cellStyle name="Comma 3 6" xfId="993"/>
    <cellStyle name="Comma 3 7" xfId="994"/>
    <cellStyle name="Comma 3 8" xfId="995"/>
    <cellStyle name="Comma 3 9" xfId="996"/>
    <cellStyle name="Comma 3_VBPL kiểm toán Đầu tư XDCB 2010" xfId="997"/>
    <cellStyle name="Comma 30" xfId="998"/>
    <cellStyle name="Comma 30 2" xfId="999"/>
    <cellStyle name="Comma 31" xfId="1000"/>
    <cellStyle name="Comma 31 2" xfId="1001"/>
    <cellStyle name="Comma 31 2 2" xfId="1002"/>
    <cellStyle name="Comma 32" xfId="1003"/>
    <cellStyle name="Comma 33" xfId="1004"/>
    <cellStyle name="Comma 34" xfId="1005"/>
    <cellStyle name="Comma 35" xfId="1006"/>
    <cellStyle name="Comma 36" xfId="1007"/>
    <cellStyle name="Comma 37" xfId="1008"/>
    <cellStyle name="Comma 38" xfId="1009"/>
    <cellStyle name="Comma 38 2" xfId="1010"/>
    <cellStyle name="Comma 39" xfId="1011"/>
    <cellStyle name="Comma 4" xfId="1012"/>
    <cellStyle name="Comma 4 2" xfId="1013"/>
    <cellStyle name="Comma 4 2 2" xfId="1014"/>
    <cellStyle name="Comma 4 3" xfId="1015"/>
    <cellStyle name="Comma 4 3 2" xfId="1016"/>
    <cellStyle name="Comma 4_Bieu mau KH 2011 (gui Vu DP)" xfId="1017"/>
    <cellStyle name="Comma 40" xfId="1018"/>
    <cellStyle name="Comma 41" xfId="1019"/>
    <cellStyle name="Comma 41 3" xfId="1020"/>
    <cellStyle name="Comma 42" xfId="1021"/>
    <cellStyle name="Comma 43" xfId="1022"/>
    <cellStyle name="Comma 44" xfId="1023"/>
    <cellStyle name="Comma 45" xfId="1024"/>
    <cellStyle name="Comma 46" xfId="1025"/>
    <cellStyle name="Comma 47" xfId="1026"/>
    <cellStyle name="Comma 5" xfId="1027"/>
    <cellStyle name="Comma 5 2" xfId="1028"/>
    <cellStyle name="Comma 5 3" xfId="1029"/>
    <cellStyle name="Comma 6" xfId="1030"/>
    <cellStyle name="Comma 7" xfId="1031"/>
    <cellStyle name="Comma 7 2" xfId="1032"/>
    <cellStyle name="Comma 7 2 2" xfId="1033"/>
    <cellStyle name="Comma 7 3" xfId="1034"/>
    <cellStyle name="Comma 7 4" xfId="1035"/>
    <cellStyle name="Comma 7 5" xfId="1036"/>
    <cellStyle name="Comma 8" xfId="1037"/>
    <cellStyle name="Comma 8 2" xfId="1038"/>
    <cellStyle name="Comma 9" xfId="1039"/>
    <cellStyle name="comma zerodec" xfId="1040"/>
    <cellStyle name="Comma0" xfId="1041"/>
    <cellStyle name="Comma0 - Modelo1" xfId="1042"/>
    <cellStyle name="Comma0 - Style1" xfId="1043"/>
    <cellStyle name="Comma0 2" xfId="1044"/>
    <cellStyle name="Comma0_Book1" xfId="1045"/>
    <cellStyle name="Comma1 - Modelo2" xfId="1046"/>
    <cellStyle name="Comma1 - Style2" xfId="1047"/>
    <cellStyle name="cong" xfId="1048"/>
    <cellStyle name="Copied" xfId="1049"/>
    <cellStyle name="Cࡵrrency_Sheet1_PRODUCTĠ" xfId="1050"/>
    <cellStyle name="Currency [00]" xfId="1051"/>
    <cellStyle name="Currency 2" xfId="1052"/>
    <cellStyle name="Currency 3" xfId="1053"/>
    <cellStyle name="Currency0" xfId="1054"/>
    <cellStyle name="Currency0 2" xfId="1055"/>
    <cellStyle name="Currency0 2 2" xfId="1056"/>
    <cellStyle name="Currency0 2 3" xfId="1057"/>
    <cellStyle name="Currency0 2 4" xfId="1058"/>
    <cellStyle name="Currency0 2_Khoi cong moi 1" xfId="1059"/>
    <cellStyle name="Currency0 3" xfId="1060"/>
    <cellStyle name="Currency0 4" xfId="1061"/>
    <cellStyle name="Currency0_Book1" xfId="1062"/>
    <cellStyle name="Currency1" xfId="1063"/>
    <cellStyle name="Check Cell 2" xfId="900"/>
    <cellStyle name="Chi phÝ kh¸c_Book1" xfId="901"/>
    <cellStyle name="chu" xfId="902"/>
    <cellStyle name="Chuẩn 3" xfId="903"/>
    <cellStyle name="CHUONG" xfId="904"/>
    <cellStyle name="D1" xfId="1064"/>
    <cellStyle name="Date" xfId="1065"/>
    <cellStyle name="Date 2" xfId="1066"/>
    <cellStyle name="Date Short" xfId="1067"/>
    <cellStyle name="Date_17 bieu (hung cap nhap)" xfId="1068"/>
    <cellStyle name="DAUDE" xfId="1071"/>
    <cellStyle name="Decimal" xfId="1076"/>
    <cellStyle name="Decimal 2" xfId="1077"/>
    <cellStyle name="Decimal 3" xfId="1078"/>
    <cellStyle name="Decimal 4" xfId="1079"/>
    <cellStyle name="DELTA" xfId="1080"/>
    <cellStyle name="Dezimal [0]_35ERI8T2gbIEMixb4v26icuOo" xfId="1081"/>
    <cellStyle name="Dezimal_35ERI8T2gbIEMixb4v26icuOo" xfId="1082"/>
    <cellStyle name="Dg" xfId="1083"/>
    <cellStyle name="Dgia" xfId="1084"/>
    <cellStyle name="Dia" xfId="1085"/>
    <cellStyle name="Dollar (zero dec)" xfId="1086"/>
    <cellStyle name="Don gia" xfId="1087"/>
    <cellStyle name="DuToanBXD" xfId="1088"/>
    <cellStyle name="Dziesi?tny [0]_Invoices2001Slovakia" xfId="1089"/>
    <cellStyle name="Dziesi?tny_Invoices2001Slovakia" xfId="1090"/>
    <cellStyle name="Dziesietny [0]_Invoices2001Slovakia" xfId="1091"/>
    <cellStyle name="Dziesiętny [0]_Invoices2001Slovakia" xfId="1092"/>
    <cellStyle name="Dziesietny [0]_Invoices2001Slovakia_01_Nha so 1_Dien" xfId="1093"/>
    <cellStyle name="Dziesiętny [0]_Invoices2001Slovakia_01_Nha so 1_Dien" xfId="1094"/>
    <cellStyle name="Dziesietny [0]_Invoices2001Slovakia_10_Nha so 10_Dien1" xfId="1095"/>
    <cellStyle name="Dziesiętny [0]_Invoices2001Slovakia_10_Nha so 10_Dien1" xfId="1096"/>
    <cellStyle name="Dziesietny [0]_Invoices2001Slovakia_Book1" xfId="1097"/>
    <cellStyle name="Dziesiętny [0]_Invoices2001Slovakia_Book1" xfId="1098"/>
    <cellStyle name="Dziesietny [0]_Invoices2001Slovakia_Book1_1" xfId="1099"/>
    <cellStyle name="Dziesiętny [0]_Invoices2001Slovakia_Book1_1" xfId="1100"/>
    <cellStyle name="Dziesietny [0]_Invoices2001Slovakia_Book1_1_Book1" xfId="1101"/>
    <cellStyle name="Dziesiętny [0]_Invoices2001Slovakia_Book1_1_Book1" xfId="1102"/>
    <cellStyle name="Dziesietny [0]_Invoices2001Slovakia_Book1_2" xfId="1103"/>
    <cellStyle name="Dziesiętny [0]_Invoices2001Slovakia_Book1_2" xfId="1104"/>
    <cellStyle name="Dziesietny [0]_Invoices2001Slovakia_Book1_Nhu cau von ung truoc 2011 Tha h Hoa + Nge An gui TW" xfId="1105"/>
    <cellStyle name="Dziesiętny [0]_Invoices2001Slovakia_Book1_Nhu cau von ung truoc 2011 Tha h Hoa + Nge An gui TW" xfId="1106"/>
    <cellStyle name="Dziesietny [0]_Invoices2001Slovakia_Book1_Tong hop Cac tuyen(9-1-06)" xfId="1107"/>
    <cellStyle name="Dziesiętny [0]_Invoices2001Slovakia_Book1_Tong hop Cac tuyen(9-1-06)" xfId="1108"/>
    <cellStyle name="Dziesietny [0]_Invoices2001Slovakia_Book1_ung 2011 - 11-6-Thanh hoa-Nghe an" xfId="1109"/>
    <cellStyle name="Dziesiętny [0]_Invoices2001Slovakia_Book1_ung 2011 - 11-6-Thanh hoa-Nghe an" xfId="1110"/>
    <cellStyle name="Dziesietny [0]_Invoices2001Slovakia_Book1_ung truoc 2011 NSTW Thanh Hoa + Nge An gui Thu 12-5" xfId="1111"/>
    <cellStyle name="Dziesiętny [0]_Invoices2001Slovakia_Book1_ung truoc 2011 NSTW Thanh Hoa + Nge An gui Thu 12-5" xfId="1112"/>
    <cellStyle name="Dziesietny [0]_Invoices2001Slovakia_d-uong+TDT" xfId="1113"/>
    <cellStyle name="Dziesiętny [0]_Invoices2001Slovakia_Nhµ ®Ó xe" xfId="1114"/>
    <cellStyle name="Dziesietny [0]_Invoices2001Slovakia_Nha bao ve(28-7-05)" xfId="1115"/>
    <cellStyle name="Dziesiętny [0]_Invoices2001Slovakia_Nha bao ve(28-7-05)" xfId="1116"/>
    <cellStyle name="Dziesietny [0]_Invoices2001Slovakia_NHA de xe nguyen du" xfId="1117"/>
    <cellStyle name="Dziesiętny [0]_Invoices2001Slovakia_NHA de xe nguyen du" xfId="1118"/>
    <cellStyle name="Dziesietny [0]_Invoices2001Slovakia_Nhalamviec VTC(25-1-05)" xfId="1119"/>
    <cellStyle name="Dziesiętny [0]_Invoices2001Slovakia_Nhalamviec VTC(25-1-05)" xfId="1120"/>
    <cellStyle name="Dziesietny [0]_Invoices2001Slovakia_Nhu cau von ung truoc 2011 Tha h Hoa + Nge An gui TW" xfId="1121"/>
    <cellStyle name="Dziesiętny [0]_Invoices2001Slovakia_TDT KHANH HOA" xfId="1122"/>
    <cellStyle name="Dziesietny [0]_Invoices2001Slovakia_TDT KHANH HOA_Tong hop Cac tuyen(9-1-06)" xfId="1123"/>
    <cellStyle name="Dziesiętny [0]_Invoices2001Slovakia_TDT KHANH HOA_Tong hop Cac tuyen(9-1-06)" xfId="1124"/>
    <cellStyle name="Dziesietny [0]_Invoices2001Slovakia_TDT quangngai" xfId="1125"/>
    <cellStyle name="Dziesiętny [0]_Invoices2001Slovakia_TDT quangngai" xfId="1126"/>
    <cellStyle name="Dziesietny [0]_Invoices2001Slovakia_TMDT(10-5-06)" xfId="1127"/>
    <cellStyle name="Dziesietny_Invoices2001Slovakia" xfId="1128"/>
    <cellStyle name="Dziesiętny_Invoices2001Slovakia" xfId="1129"/>
    <cellStyle name="Dziesietny_Invoices2001Slovakia_01_Nha so 1_Dien" xfId="1130"/>
    <cellStyle name="Dziesiętny_Invoices2001Slovakia_01_Nha so 1_Dien" xfId="1131"/>
    <cellStyle name="Dziesietny_Invoices2001Slovakia_10_Nha so 10_Dien1" xfId="1132"/>
    <cellStyle name="Dziesiętny_Invoices2001Slovakia_10_Nha so 10_Dien1" xfId="1133"/>
    <cellStyle name="Dziesietny_Invoices2001Slovakia_Book1" xfId="1134"/>
    <cellStyle name="Dziesiętny_Invoices2001Slovakia_Book1" xfId="1135"/>
    <cellStyle name="Dziesietny_Invoices2001Slovakia_Book1_1" xfId="1136"/>
    <cellStyle name="Dziesiętny_Invoices2001Slovakia_Book1_1" xfId="1137"/>
    <cellStyle name="Dziesietny_Invoices2001Slovakia_Book1_1_Book1" xfId="1138"/>
    <cellStyle name="Dziesiętny_Invoices2001Slovakia_Book1_1_Book1" xfId="1139"/>
    <cellStyle name="Dziesietny_Invoices2001Slovakia_Book1_2" xfId="1140"/>
    <cellStyle name="Dziesiętny_Invoices2001Slovakia_Book1_2" xfId="1141"/>
    <cellStyle name="Dziesietny_Invoices2001Slovakia_Book1_Nhu cau von ung truoc 2011 Tha h Hoa + Nge An gui TW" xfId="1142"/>
    <cellStyle name="Dziesiętny_Invoices2001Slovakia_Book1_Nhu cau von ung truoc 2011 Tha h Hoa + Nge An gui TW" xfId="1143"/>
    <cellStyle name="Dziesietny_Invoices2001Slovakia_Book1_Tong hop Cac tuyen(9-1-06)" xfId="1144"/>
    <cellStyle name="Dziesiętny_Invoices2001Slovakia_Book1_Tong hop Cac tuyen(9-1-06)" xfId="1145"/>
    <cellStyle name="Dziesietny_Invoices2001Slovakia_Book1_ung 2011 - 11-6-Thanh hoa-Nghe an" xfId="1146"/>
    <cellStyle name="Dziesiętny_Invoices2001Slovakia_Book1_ung 2011 - 11-6-Thanh hoa-Nghe an" xfId="1147"/>
    <cellStyle name="Dziesietny_Invoices2001Slovakia_Book1_ung truoc 2011 NSTW Thanh Hoa + Nge An gui Thu 12-5" xfId="1148"/>
    <cellStyle name="Dziesiętny_Invoices2001Slovakia_Book1_ung truoc 2011 NSTW Thanh Hoa + Nge An gui Thu 12-5" xfId="1149"/>
    <cellStyle name="Dziesietny_Invoices2001Slovakia_d-uong+TDT" xfId="1150"/>
    <cellStyle name="Dziesiętny_Invoices2001Slovakia_Nhµ ®Ó xe" xfId="1151"/>
    <cellStyle name="Dziesietny_Invoices2001Slovakia_Nha bao ve(28-7-05)" xfId="1152"/>
    <cellStyle name="Dziesiętny_Invoices2001Slovakia_Nha bao ve(28-7-05)" xfId="1153"/>
    <cellStyle name="Dziesietny_Invoices2001Slovakia_NHA de xe nguyen du" xfId="1154"/>
    <cellStyle name="Dziesiętny_Invoices2001Slovakia_NHA de xe nguyen du" xfId="1155"/>
    <cellStyle name="Dziesietny_Invoices2001Slovakia_Nhalamviec VTC(25-1-05)" xfId="1156"/>
    <cellStyle name="Dziesiętny_Invoices2001Slovakia_Nhalamviec VTC(25-1-05)" xfId="1157"/>
    <cellStyle name="Dziesietny_Invoices2001Slovakia_Nhu cau von ung truoc 2011 Tha h Hoa + Nge An gui TW" xfId="1158"/>
    <cellStyle name="Dziesiętny_Invoices2001Slovakia_TDT KHANH HOA" xfId="1159"/>
    <cellStyle name="Dziesietny_Invoices2001Slovakia_TDT KHANH HOA_Tong hop Cac tuyen(9-1-06)" xfId="1160"/>
    <cellStyle name="Dziesiętny_Invoices2001Slovakia_TDT KHANH HOA_Tong hop Cac tuyen(9-1-06)" xfId="1161"/>
    <cellStyle name="Dziesietny_Invoices2001Slovakia_TDT quangngai" xfId="1162"/>
    <cellStyle name="Dziesiętny_Invoices2001Slovakia_TDT quangngai" xfId="1163"/>
    <cellStyle name="Dziesietny_Invoices2001Slovakia_TMDT(10-5-06)" xfId="1164"/>
    <cellStyle name="Đầu ra" xfId="1069"/>
    <cellStyle name="Đầu vào" xfId="1070"/>
    <cellStyle name="Đề mục 1" xfId="1072"/>
    <cellStyle name="Đề mục 2" xfId="1073"/>
    <cellStyle name="Đề mục 3" xfId="1074"/>
    <cellStyle name="Đề mục 4" xfId="1075"/>
    <cellStyle name="e" xfId="1165"/>
    <cellStyle name="Encabez1" xfId="1166"/>
    <cellStyle name="Encabez2" xfId="1167"/>
    <cellStyle name="Enter Currency (0)" xfId="1168"/>
    <cellStyle name="Enter Currency (2)" xfId="1169"/>
    <cellStyle name="Enter Units (0)" xfId="1170"/>
    <cellStyle name="Enter Units (1)" xfId="1171"/>
    <cellStyle name="Enter Units (2)" xfId="1172"/>
    <cellStyle name="Entered" xfId="1173"/>
    <cellStyle name="En-tete1" xfId="1174"/>
    <cellStyle name="En-tete2" xfId="1175"/>
    <cellStyle name="Euro" xfId="1176"/>
    <cellStyle name="Explanatory Text 2" xfId="1177"/>
    <cellStyle name="f" xfId="1178"/>
    <cellStyle name="F2" xfId="1179"/>
    <cellStyle name="F3" xfId="1180"/>
    <cellStyle name="F4" xfId="1181"/>
    <cellStyle name="F5" xfId="1182"/>
    <cellStyle name="F6" xfId="1183"/>
    <cellStyle name="F7" xfId="1184"/>
    <cellStyle name="F8" xfId="1185"/>
    <cellStyle name="Fijo" xfId="1186"/>
    <cellStyle name="Financier" xfId="1187"/>
    <cellStyle name="Financiero" xfId="1188"/>
    <cellStyle name="Fixe" xfId="1189"/>
    <cellStyle name="Fixed" xfId="1190"/>
    <cellStyle name="Fixed 2" xfId="1191"/>
    <cellStyle name="Font Britannic16" xfId="1192"/>
    <cellStyle name="Font Britannic18" xfId="1193"/>
    <cellStyle name="Font CenturyCond 18" xfId="1194"/>
    <cellStyle name="Font Cond20" xfId="1195"/>
    <cellStyle name="Font LucidaSans16" xfId="1196"/>
    <cellStyle name="Font NewCenturyCond18" xfId="1197"/>
    <cellStyle name="Font Ottawa14" xfId="1198"/>
    <cellStyle name="Font Ottawa16" xfId="1199"/>
    <cellStyle name="Formulas" xfId="1200"/>
    <cellStyle name="Ghi chú" xfId="1201"/>
    <cellStyle name="Good 2" xfId="1203"/>
    <cellStyle name="Grey" xfId="1204"/>
    <cellStyle name="Group" xfId="1205"/>
    <cellStyle name="gia" xfId="1202"/>
    <cellStyle name="H" xfId="1206"/>
    <cellStyle name="ha" xfId="1207"/>
    <cellStyle name="HAI" xfId="1208"/>
    <cellStyle name="Head 1" xfId="1209"/>
    <cellStyle name="HEADER" xfId="1210"/>
    <cellStyle name="Header1" xfId="1211"/>
    <cellStyle name="Header2" xfId="1212"/>
    <cellStyle name="Heading 1" xfId="1213" builtinId="16" customBuiltin="1"/>
    <cellStyle name="Heading 1 2" xfId="1214"/>
    <cellStyle name="Heading 1 3" xfId="1215"/>
    <cellStyle name="Heading 2" xfId="1216" builtinId="17" customBuiltin="1"/>
    <cellStyle name="Heading 2 2" xfId="1217"/>
    <cellStyle name="Heading 2 3" xfId="1218"/>
    <cellStyle name="Heading 3 2" xfId="1219"/>
    <cellStyle name="Heading 4 2" xfId="1220"/>
    <cellStyle name="HEADING1" xfId="1221"/>
    <cellStyle name="HEADING2" xfId="1222"/>
    <cellStyle name="HEADINGS" xfId="1223"/>
    <cellStyle name="HEADINGSTOP" xfId="1224"/>
    <cellStyle name="headoption" xfId="1225"/>
    <cellStyle name="hoa" xfId="1226"/>
    <cellStyle name="Hoa-Scholl" xfId="1227"/>
    <cellStyle name="HUY" xfId="1228"/>
    <cellStyle name="i phÝ kh¸c_B¶ng 2" xfId="1229"/>
    <cellStyle name="I.3" xfId="1230"/>
    <cellStyle name="i·0" xfId="1231"/>
    <cellStyle name="ï-¾È»ê_BiÓu TB" xfId="1232"/>
    <cellStyle name="Input" xfId="1233" builtinId="20" customBuiltin="1"/>
    <cellStyle name="Input [yellow]" xfId="1234"/>
    <cellStyle name="Input 2" xfId="1235"/>
    <cellStyle name="k" xfId="1236"/>
    <cellStyle name="k_TONG HOP KINH PHI" xfId="1237"/>
    <cellStyle name="k_ÿÿÿÿÿ" xfId="1238"/>
    <cellStyle name="k_ÿÿÿÿÿ_1" xfId="1239"/>
    <cellStyle name="k_ÿÿÿÿÿ_2" xfId="1240"/>
    <cellStyle name="Kiểm tra Ô" xfId="1245"/>
    <cellStyle name="KL" xfId="1246"/>
    <cellStyle name="kh¸c_Bang Chi tieu" xfId="1241"/>
    <cellStyle name="khanh" xfId="1242"/>
    <cellStyle name="khoa2" xfId="1243"/>
    <cellStyle name="khung" xfId="1244"/>
    <cellStyle name="LAS - XD 354" xfId="1247"/>
    <cellStyle name="Ledger 17 x 11 in" xfId="1248"/>
    <cellStyle name="left" xfId="1249"/>
    <cellStyle name="Line" xfId="1250"/>
    <cellStyle name="Link Currency (0)" xfId="1251"/>
    <cellStyle name="Link Currency (2)" xfId="1252"/>
    <cellStyle name="Link Units (0)" xfId="1253"/>
    <cellStyle name="Link Units (1)" xfId="1254"/>
    <cellStyle name="Link Units (2)" xfId="1255"/>
    <cellStyle name="Linked Cell 2" xfId="1256"/>
    <cellStyle name="lo" xfId="1257"/>
    <cellStyle name="Loai CBDT" xfId="1258"/>
    <cellStyle name="Loai CT" xfId="1259"/>
    <cellStyle name="Loai GD" xfId="1260"/>
    <cellStyle name="MAU" xfId="1261"/>
    <cellStyle name="Migliaia (0)_CALPREZZ" xfId="1262"/>
    <cellStyle name="Migliaia_ PESO ELETTR." xfId="1263"/>
    <cellStyle name="Millares [0]_10 AVERIAS MASIVAS + ANT" xfId="1264"/>
    <cellStyle name="Millares_Well Timing" xfId="1265"/>
    <cellStyle name="Milliers [0]_      " xfId="1266"/>
    <cellStyle name="Milliers_      " xfId="1267"/>
    <cellStyle name="Model" xfId="1268"/>
    <cellStyle name="moi" xfId="1269"/>
    <cellStyle name="Moneda [0]_Well Timing" xfId="1270"/>
    <cellStyle name="Moneda_Well Timing" xfId="1271"/>
    <cellStyle name="Monetaire" xfId="1272"/>
    <cellStyle name="Monétaire [0]_      " xfId="1273"/>
    <cellStyle name="Monétaire_      " xfId="1274"/>
    <cellStyle name="n" xfId="1275"/>
    <cellStyle name="n_17 bieu (hung cap nhap)" xfId="1276"/>
    <cellStyle name="n_Bao cao doan cong tac cua Bo thang 4-2010" xfId="1277"/>
    <cellStyle name="n_Book1_Bieu du thao QD von ho tro co MT 3" xfId="1278"/>
    <cellStyle name="n_goi 4 - qt" xfId="1279"/>
    <cellStyle name="n_VBPL kiểm toán Đầu tư XDCB 2010" xfId="1280"/>
    <cellStyle name="Neutral 2" xfId="1281"/>
    <cellStyle name="New" xfId="1282"/>
    <cellStyle name="New Times Roman" xfId="1283"/>
    <cellStyle name="no dec" xfId="1291"/>
    <cellStyle name="ÑONVÒ" xfId="1292"/>
    <cellStyle name="Normal" xfId="0" builtinId="0"/>
    <cellStyle name="Normal - ??1" xfId="1293"/>
    <cellStyle name="Normal - Style1" xfId="1294"/>
    <cellStyle name="Normal - Style1 2" xfId="1295"/>
    <cellStyle name="Normal - Style1 2 10" xfId="1296"/>
    <cellStyle name="Normal - Style1 2 2" xfId="1297"/>
    <cellStyle name="Normal - Style1 2 3" xfId="1298"/>
    <cellStyle name="Normal - Style1 2 4" xfId="1299"/>
    <cellStyle name="Normal - Style1 2_Khoi cong moi 1" xfId="1300"/>
    <cellStyle name="Normal - Style1 3" xfId="1301"/>
    <cellStyle name="Normal - Style1 4" xfId="1302"/>
    <cellStyle name="Normal - Style1_Bao cao kiem toan kh 2010" xfId="1303"/>
    <cellStyle name="Normal - 유형1" xfId="1304"/>
    <cellStyle name="Normal 10" xfId="1305"/>
    <cellStyle name="Normal 10 2" xfId="1306"/>
    <cellStyle name="Normal 10 2 10" xfId="1307"/>
    <cellStyle name="Normal 10 2 2" xfId="1308"/>
    <cellStyle name="Normal 10 2 3" xfId="1309"/>
    <cellStyle name="Normal 10 3" xfId="1310"/>
    <cellStyle name="Normal 11" xfId="1311"/>
    <cellStyle name="Normal 11 2" xfId="1312"/>
    <cellStyle name="Normal 11 3" xfId="1313"/>
    <cellStyle name="Normal 12" xfId="1314"/>
    <cellStyle name="Normal 12 2" xfId="1315"/>
    <cellStyle name="Normal 12 3" xfId="1316"/>
    <cellStyle name="Normal 13" xfId="1317"/>
    <cellStyle name="Normal 14" xfId="1318"/>
    <cellStyle name="Normal 15" xfId="1319"/>
    <cellStyle name="Normal 16" xfId="1320"/>
    <cellStyle name="Normal 16 2" xfId="1321"/>
    <cellStyle name="Normal 17" xfId="1322"/>
    <cellStyle name="Normal 18" xfId="1323"/>
    <cellStyle name="Normal 19" xfId="1324"/>
    <cellStyle name="Normal 19 2" xfId="1325"/>
    <cellStyle name="Normal 2" xfId="1326"/>
    <cellStyle name="Normal 2 2" xfId="1327"/>
    <cellStyle name="Normal 2 2 2" xfId="1328"/>
    <cellStyle name="Normal 2 2 2 2" xfId="1329"/>
    <cellStyle name="Normal 2 2 3" xfId="1330"/>
    <cellStyle name="Normal 2 2 4" xfId="1331"/>
    <cellStyle name="Normal 2 2_Du tru xin kinh phi  chi thuong xuyen huyen moi " xfId="1332"/>
    <cellStyle name="Normal 2 3" xfId="1333"/>
    <cellStyle name="Normal 2 3 2" xfId="1334"/>
    <cellStyle name="Normal 2 3_Worksheet in Thong bao phan bo KH 2011 chuyen nguon sang 2012_CT" xfId="1335"/>
    <cellStyle name="Normal 2 4" xfId="1336"/>
    <cellStyle name="Normal 2 5 2" xfId="1337"/>
    <cellStyle name="Normal 2 5 3" xfId="1338"/>
    <cellStyle name="Normal 2_04.06  GUI HA DT HUYEN MOI" xfId="1339"/>
    <cellStyle name="Normal 22" xfId="1340"/>
    <cellStyle name="Normal 23" xfId="1341"/>
    <cellStyle name="Normal 24" xfId="1342"/>
    <cellStyle name="Normal 3" xfId="1343"/>
    <cellStyle name="Normal 3 2" xfId="1344"/>
    <cellStyle name="Normal 3 2 2" xfId="1345"/>
    <cellStyle name="Normal 3 2 3" xfId="1346"/>
    <cellStyle name="Normal 3 3" xfId="1347"/>
    <cellStyle name="Normal 3 4" xfId="1348"/>
    <cellStyle name="Normal 3_17 bieu (hung cap nhap)" xfId="1349"/>
    <cellStyle name="Normal 4" xfId="1350"/>
    <cellStyle name="Normal 4 10" xfId="1351"/>
    <cellStyle name="Normal 4 2" xfId="1352"/>
    <cellStyle name="Normal 4 3" xfId="1353"/>
    <cellStyle name="Normal 4_báo cáo nợ đọng Sở KHĐT" xfId="1354"/>
    <cellStyle name="Normal 43" xfId="1355"/>
    <cellStyle name="Normal 5" xfId="1356"/>
    <cellStyle name="Normal 5 2" xfId="1357"/>
    <cellStyle name="Normal 5 2 2" xfId="1358"/>
    <cellStyle name="Normal 5 3" xfId="1359"/>
    <cellStyle name="Normal 5_Book1" xfId="1360"/>
    <cellStyle name="Normal 59" xfId="1361"/>
    <cellStyle name="Normal 6" xfId="1362"/>
    <cellStyle name="Normal 6 2" xfId="1363"/>
    <cellStyle name="Normal 6 3" xfId="1364"/>
    <cellStyle name="Normal 6 3 2" xfId="1365"/>
    <cellStyle name="Normal 6 4" xfId="1366"/>
    <cellStyle name="Normal 6 5" xfId="1367"/>
    <cellStyle name="Normal 6 6" xfId="1368"/>
    <cellStyle name="Normal 6 7" xfId="1369"/>
    <cellStyle name="Normal 6_Bieu mau KH 2011 (gui Vu DP)" xfId="1370"/>
    <cellStyle name="Normal 69 2" xfId="1371"/>
    <cellStyle name="Normal 7" xfId="1372"/>
    <cellStyle name="Normal 8" xfId="1373"/>
    <cellStyle name="Normal 9" xfId="1374"/>
    <cellStyle name="Normal 9 2" xfId="1375"/>
    <cellStyle name="Normal 9 3" xfId="1376"/>
    <cellStyle name="Normal 9_báo cáo nợ đọng Sở KHĐT" xfId="1377"/>
    <cellStyle name="Normal_Sheet1" xfId="1378"/>
    <cellStyle name="Normal1" xfId="1379"/>
    <cellStyle name="Normal8" xfId="1380"/>
    <cellStyle name="NORMAL-ADB" xfId="1381"/>
    <cellStyle name="Normale_ PESO ELETTR." xfId="1382"/>
    <cellStyle name="Normalny_Cennik obowiazuje od 06-08-2001 r (1)" xfId="1383"/>
    <cellStyle name="Note 2" xfId="1384"/>
    <cellStyle name="NWM" xfId="1385"/>
    <cellStyle name="nga" xfId="1284"/>
    <cellStyle name="Nhấn1" xfId="1285"/>
    <cellStyle name="Nhấn2" xfId="1286"/>
    <cellStyle name="Nhấn3" xfId="1287"/>
    <cellStyle name="Nhấn4" xfId="1288"/>
    <cellStyle name="Nhấn5" xfId="1289"/>
    <cellStyle name="Nhấn6" xfId="1290"/>
    <cellStyle name="Ò_x000d_Normal_123569" xfId="1387"/>
    <cellStyle name="Œ…‹æØ‚è [0.00]_††††† " xfId="1388"/>
    <cellStyle name="Œ…‹æØ‚è_††††† " xfId="1389"/>
    <cellStyle name="oft Excel]_x000d__x000a_Comment=open=/f ‚ðw’è‚·‚é‚ÆAƒ†[ƒU[’è‹`ŠÖ”‚ðŠÖ”“\‚è•t‚¯‚Ìˆê——‚É“o˜^‚·‚é‚±‚Æ‚ª‚Å‚«‚Ü‚·B_x000d__x000a_Maximized" xfId="1390"/>
    <cellStyle name="oft Excel]_x000d__x000a_Comment=open=/f ‚ðŽw’è‚·‚é‚ÆAƒ†[ƒU[’è‹`ŠÖ”‚ðŠÖ”“\‚è•t‚¯‚Ìˆê——‚É“o˜^‚·‚é‚±‚Æ‚ª‚Å‚«‚Ü‚·B_x000d__x000a_Maximized" xfId="1391"/>
    <cellStyle name="oft Excel]_x000d__x000a_Comment=The open=/f lines load custom functions into the Paste Function list._x000d__x000a_Maximized=2_x000d__x000a_Basics=1_x000d__x000a_A" xfId="1392"/>
    <cellStyle name="oft Excel]_x000d__x000a_Comment=The open=/f lines load custom functions into the Paste Function list._x000d__x000a_Maximized=3_x000d__x000a_Basics=1_x000d__x000a_A" xfId="1393"/>
    <cellStyle name="omma [0]_Mktg Prog" xfId="1394"/>
    <cellStyle name="ormal_Sheet1_1" xfId="1395"/>
    <cellStyle name="Output 2" xfId="1396"/>
    <cellStyle name="Ô Được nối kết" xfId="1386"/>
    <cellStyle name="p" xfId="1397"/>
    <cellStyle name="paint" xfId="1398"/>
    <cellStyle name="Pattern" xfId="1399"/>
    <cellStyle name="per.style" xfId="1400"/>
    <cellStyle name="Percent [0]" xfId="1401"/>
    <cellStyle name="Percent [00]" xfId="1402"/>
    <cellStyle name="Percent [2]" xfId="1403"/>
    <cellStyle name="Percent 2" xfId="1404"/>
    <cellStyle name="Percent 3" xfId="1405"/>
    <cellStyle name="Percent 4" xfId="1406"/>
    <cellStyle name="PERCENTAGE" xfId="1407"/>
    <cellStyle name="Pourcentage" xfId="1409"/>
    <cellStyle name="PrePop Currency (0)" xfId="1410"/>
    <cellStyle name="PrePop Currency (2)" xfId="1411"/>
    <cellStyle name="PrePop Units (0)" xfId="1412"/>
    <cellStyle name="PrePop Units (1)" xfId="1413"/>
    <cellStyle name="PrePop Units (2)" xfId="1414"/>
    <cellStyle name="pricing" xfId="1415"/>
    <cellStyle name="PSChar" xfId="1416"/>
    <cellStyle name="PSHeading" xfId="1417"/>
    <cellStyle name="PHONG" xfId="1408"/>
    <cellStyle name="regstoresfromspecstores" xfId="1418"/>
    <cellStyle name="RevList" xfId="1419"/>
    <cellStyle name="rlink_tiªn l­în_x001b_Hyperlink_TONG HOP KINH PHI" xfId="1420"/>
    <cellStyle name="rmal_ADAdot" xfId="1421"/>
    <cellStyle name="S—_x0008_" xfId="1422"/>
    <cellStyle name="s]_x000d__x000a_spooler=yes_x000d__x000a_load=_x000d__x000a_Beep=yes_x000d__x000a_NullPort=None_x000d__x000a_BorderWidth=3_x000d__x000a_CursorBlinkRate=1200_x000d__x000a_DoubleClickSpeed=452_x000d__x000a_Programs=co" xfId="1423"/>
    <cellStyle name="SAPBEXaggData" xfId="1424"/>
    <cellStyle name="SAPBEXaggDataEmph" xfId="1425"/>
    <cellStyle name="SAPBEXaggItem" xfId="1426"/>
    <cellStyle name="SAPBEXchaText" xfId="1427"/>
    <cellStyle name="SAPBEXexcBad7" xfId="1428"/>
    <cellStyle name="SAPBEXexcBad8" xfId="1429"/>
    <cellStyle name="SAPBEXexcBad9" xfId="1430"/>
    <cellStyle name="SAPBEXexcCritical4" xfId="1431"/>
    <cellStyle name="SAPBEXexcCritical5" xfId="1432"/>
    <cellStyle name="SAPBEXexcCritical6" xfId="1433"/>
    <cellStyle name="SAPBEXexcGood1" xfId="1434"/>
    <cellStyle name="SAPBEXexcGood2" xfId="1435"/>
    <cellStyle name="SAPBEXexcGood3" xfId="1436"/>
    <cellStyle name="SAPBEXfilterDrill" xfId="1437"/>
    <cellStyle name="SAPBEXfilterItem" xfId="1438"/>
    <cellStyle name="SAPBEXfilterText" xfId="1439"/>
    <cellStyle name="SAPBEXformats" xfId="1440"/>
    <cellStyle name="SAPBEXheaderItem" xfId="1441"/>
    <cellStyle name="SAPBEXheaderText" xfId="1442"/>
    <cellStyle name="SAPBEXresData" xfId="1443"/>
    <cellStyle name="SAPBEXresDataEmph" xfId="1444"/>
    <cellStyle name="SAPBEXresItem" xfId="1445"/>
    <cellStyle name="SAPBEXstdData" xfId="1446"/>
    <cellStyle name="SAPBEXstdDataEmph" xfId="1447"/>
    <cellStyle name="SAPBEXstdItem" xfId="1448"/>
    <cellStyle name="SAPBEXtitle" xfId="1449"/>
    <cellStyle name="SAPBEXundefined" xfId="1450"/>
    <cellStyle name="serJet 1200 Series PCL 6" xfId="1451"/>
    <cellStyle name="SHADEDSTORES" xfId="1452"/>
    <cellStyle name="so" xfId="1453"/>
    <cellStyle name="SO%" xfId="1454"/>
    <cellStyle name="so_Book1" xfId="1455"/>
    <cellStyle name="songuyen" xfId="1456"/>
    <cellStyle name="specstores" xfId="1457"/>
    <cellStyle name="Standard_AAbgleich" xfId="1458"/>
    <cellStyle name="STT" xfId="1459"/>
    <cellStyle name="STTDG" xfId="1460"/>
    <cellStyle name="Style 1" xfId="1461"/>
    <cellStyle name="Style 10" xfId="1462"/>
    <cellStyle name="Style 100" xfId="1463"/>
    <cellStyle name="Style 101" xfId="1464"/>
    <cellStyle name="Style 102" xfId="1465"/>
    <cellStyle name="Style 103" xfId="1466"/>
    <cellStyle name="Style 104" xfId="1467"/>
    <cellStyle name="Style 105" xfId="1468"/>
    <cellStyle name="Style 106" xfId="1469"/>
    <cellStyle name="Style 107" xfId="1470"/>
    <cellStyle name="Style 108" xfId="1471"/>
    <cellStyle name="Style 109" xfId="1472"/>
    <cellStyle name="Style 11" xfId="1473"/>
    <cellStyle name="Style 110" xfId="1474"/>
    <cellStyle name="Style 111" xfId="1475"/>
    <cellStyle name="Style 112" xfId="1476"/>
    <cellStyle name="Style 113" xfId="1477"/>
    <cellStyle name="Style 114" xfId="1478"/>
    <cellStyle name="Style 115" xfId="1479"/>
    <cellStyle name="Style 116" xfId="1480"/>
    <cellStyle name="Style 117" xfId="1481"/>
    <cellStyle name="Style 118" xfId="1482"/>
    <cellStyle name="Style 119" xfId="1483"/>
    <cellStyle name="Style 12" xfId="1484"/>
    <cellStyle name="Style 120" xfId="1485"/>
    <cellStyle name="Style 121" xfId="1486"/>
    <cellStyle name="Style 122" xfId="1487"/>
    <cellStyle name="Style 123" xfId="1488"/>
    <cellStyle name="Style 124" xfId="1489"/>
    <cellStyle name="Style 125" xfId="1490"/>
    <cellStyle name="Style 126" xfId="1491"/>
    <cellStyle name="Style 127" xfId="1492"/>
    <cellStyle name="Style 128" xfId="1493"/>
    <cellStyle name="Style 129" xfId="1494"/>
    <cellStyle name="Style 13" xfId="1495"/>
    <cellStyle name="Style 130" xfId="1496"/>
    <cellStyle name="Style 131" xfId="1497"/>
    <cellStyle name="Style 132" xfId="1498"/>
    <cellStyle name="Style 133" xfId="1499"/>
    <cellStyle name="Style 134" xfId="1500"/>
    <cellStyle name="Style 135" xfId="1501"/>
    <cellStyle name="Style 136" xfId="1502"/>
    <cellStyle name="Style 137" xfId="1503"/>
    <cellStyle name="Style 138" xfId="1504"/>
    <cellStyle name="Style 139" xfId="1505"/>
    <cellStyle name="Style 14" xfId="1506"/>
    <cellStyle name="Style 140" xfId="1507"/>
    <cellStyle name="Style 141" xfId="1508"/>
    <cellStyle name="Style 142" xfId="1509"/>
    <cellStyle name="Style 143" xfId="1510"/>
    <cellStyle name="Style 144" xfId="1511"/>
    <cellStyle name="Style 145" xfId="1512"/>
    <cellStyle name="Style 146" xfId="1513"/>
    <cellStyle name="Style 147" xfId="1514"/>
    <cellStyle name="Style 148" xfId="1515"/>
    <cellStyle name="Style 149" xfId="1516"/>
    <cellStyle name="Style 15" xfId="1517"/>
    <cellStyle name="Style 150" xfId="1518"/>
    <cellStyle name="Style 151" xfId="1519"/>
    <cellStyle name="Style 152" xfId="1520"/>
    <cellStyle name="Style 153" xfId="1521"/>
    <cellStyle name="Style 154" xfId="1522"/>
    <cellStyle name="Style 155" xfId="1523"/>
    <cellStyle name="Style 156" xfId="1524"/>
    <cellStyle name="Style 157" xfId="1525"/>
    <cellStyle name="Style 158" xfId="1526"/>
    <cellStyle name="Style 159" xfId="1527"/>
    <cellStyle name="Style 16" xfId="1528"/>
    <cellStyle name="Style 160" xfId="1529"/>
    <cellStyle name="Style 161" xfId="1530"/>
    <cellStyle name="Style 162" xfId="1531"/>
    <cellStyle name="Style 163" xfId="1532"/>
    <cellStyle name="Style 17" xfId="1533"/>
    <cellStyle name="Style 18" xfId="1534"/>
    <cellStyle name="Style 19" xfId="1535"/>
    <cellStyle name="Style 2" xfId="1536"/>
    <cellStyle name="Style 20" xfId="1537"/>
    <cellStyle name="Style 21" xfId="1538"/>
    <cellStyle name="Style 22" xfId="1539"/>
    <cellStyle name="Style 23" xfId="1540"/>
    <cellStyle name="Style 24" xfId="1541"/>
    <cellStyle name="Style 25" xfId="1542"/>
    <cellStyle name="Style 26" xfId="1543"/>
    <cellStyle name="Style 27" xfId="1544"/>
    <cellStyle name="Style 28" xfId="1545"/>
    <cellStyle name="Style 29" xfId="1546"/>
    <cellStyle name="Style 3" xfId="1547"/>
    <cellStyle name="Style 30" xfId="1548"/>
    <cellStyle name="Style 31" xfId="1549"/>
    <cellStyle name="Style 32" xfId="1550"/>
    <cellStyle name="Style 33" xfId="1551"/>
    <cellStyle name="Style 34" xfId="1552"/>
    <cellStyle name="Style 35" xfId="1553"/>
    <cellStyle name="Style 36" xfId="1554"/>
    <cellStyle name="Style 37" xfId="1555"/>
    <cellStyle name="Style 38" xfId="1556"/>
    <cellStyle name="Style 39" xfId="1557"/>
    <cellStyle name="Style 4" xfId="1558"/>
    <cellStyle name="Style 40" xfId="1559"/>
    <cellStyle name="Style 41" xfId="1560"/>
    <cellStyle name="Style 42" xfId="1561"/>
    <cellStyle name="Style 43" xfId="1562"/>
    <cellStyle name="Style 44" xfId="1563"/>
    <cellStyle name="Style 45" xfId="1564"/>
    <cellStyle name="Style 46" xfId="1565"/>
    <cellStyle name="Style 47" xfId="1566"/>
    <cellStyle name="Style 48" xfId="1567"/>
    <cellStyle name="Style 49" xfId="1568"/>
    <cellStyle name="Style 5" xfId="1569"/>
    <cellStyle name="Style 50" xfId="1570"/>
    <cellStyle name="Style 51" xfId="1571"/>
    <cellStyle name="Style 52" xfId="1572"/>
    <cellStyle name="Style 53" xfId="1573"/>
    <cellStyle name="Style 54" xfId="1574"/>
    <cellStyle name="Style 55" xfId="1575"/>
    <cellStyle name="Style 56" xfId="1576"/>
    <cellStyle name="Style 57" xfId="1577"/>
    <cellStyle name="Style 58" xfId="1578"/>
    <cellStyle name="Style 59" xfId="1579"/>
    <cellStyle name="Style 6" xfId="1580"/>
    <cellStyle name="Style 60" xfId="1581"/>
    <cellStyle name="Style 61" xfId="1582"/>
    <cellStyle name="Style 62" xfId="1583"/>
    <cellStyle name="Style 63" xfId="1584"/>
    <cellStyle name="Style 64" xfId="1585"/>
    <cellStyle name="Style 65" xfId="1586"/>
    <cellStyle name="Style 66" xfId="1587"/>
    <cellStyle name="Style 67" xfId="1588"/>
    <cellStyle name="Style 68" xfId="1589"/>
    <cellStyle name="Style 69" xfId="1590"/>
    <cellStyle name="Style 7" xfId="1591"/>
    <cellStyle name="Style 70" xfId="1592"/>
    <cellStyle name="Style 71" xfId="1593"/>
    <cellStyle name="Style 72" xfId="1594"/>
    <cellStyle name="Style 73" xfId="1595"/>
    <cellStyle name="Style 74" xfId="1596"/>
    <cellStyle name="Style 75" xfId="1597"/>
    <cellStyle name="Style 76" xfId="1598"/>
    <cellStyle name="Style 77" xfId="1599"/>
    <cellStyle name="Style 78" xfId="1600"/>
    <cellStyle name="Style 79" xfId="1601"/>
    <cellStyle name="Style 8" xfId="1602"/>
    <cellStyle name="Style 80" xfId="1603"/>
    <cellStyle name="Style 81" xfId="1604"/>
    <cellStyle name="Style 82" xfId="1605"/>
    <cellStyle name="Style 83" xfId="1606"/>
    <cellStyle name="Style 84" xfId="1607"/>
    <cellStyle name="Style 85" xfId="1608"/>
    <cellStyle name="Style 86" xfId="1609"/>
    <cellStyle name="Style 87" xfId="1610"/>
    <cellStyle name="Style 88" xfId="1611"/>
    <cellStyle name="Style 89" xfId="1612"/>
    <cellStyle name="Style 9" xfId="1613"/>
    <cellStyle name="Style 90" xfId="1614"/>
    <cellStyle name="Style 91" xfId="1615"/>
    <cellStyle name="Style 92" xfId="1616"/>
    <cellStyle name="Style 93" xfId="1617"/>
    <cellStyle name="Style 94" xfId="1618"/>
    <cellStyle name="Style 95" xfId="1619"/>
    <cellStyle name="Style 96" xfId="1620"/>
    <cellStyle name="Style 97" xfId="1621"/>
    <cellStyle name="Style 98" xfId="1622"/>
    <cellStyle name="Style 99" xfId="1623"/>
    <cellStyle name="Style Date" xfId="1624"/>
    <cellStyle name="style_1" xfId="1625"/>
    <cellStyle name="subhead" xfId="1626"/>
    <cellStyle name="Subtotal" xfId="1627"/>
    <cellStyle name="symbol" xfId="1628"/>
    <cellStyle name="T" xfId="1629"/>
    <cellStyle name="T_BANG LUONG MOI KSDH va KSDC (co phu cap khu vuc)" xfId="1630"/>
    <cellStyle name="T_bao cao" xfId="1631"/>
    <cellStyle name="T_Bao cao so lieu kiem toan nam 2007 sua" xfId="1632"/>
    <cellStyle name="T_BBTNG-06" xfId="1633"/>
    <cellStyle name="T_BC CTMT-2008 Ttinh" xfId="1634"/>
    <cellStyle name="T_BC CTMT-2008 Ttinh_bieu tong hop" xfId="1635"/>
    <cellStyle name="T_BC CTMT-2008 Ttinh_Tong hop ra soat von ung 2011 -Chau" xfId="1636"/>
    <cellStyle name="T_BC CTMT-2008 Ttinh_Tong hop -Yte-Giao thong-Thuy loi-24-6" xfId="1637"/>
    <cellStyle name="T_Bc_tuan_1_CKy_6_KONTUM" xfId="1638"/>
    <cellStyle name="T_Bc_tuan_1_CKy_6_KONTUM_Book1" xfId="1639"/>
    <cellStyle name="T_Bieu mau danh muc du an thuoc CTMTQG nam 2008" xfId="1640"/>
    <cellStyle name="T_Bieu mau danh muc du an thuoc CTMTQG nam 2008_bieu tong hop" xfId="1641"/>
    <cellStyle name="T_Bieu mau danh muc du an thuoc CTMTQG nam 2008_Tong hop ra soat von ung 2011 -Chau" xfId="1642"/>
    <cellStyle name="T_Bieu mau danh muc du an thuoc CTMTQG nam 2008_Tong hop -Yte-Giao thong-Thuy loi-24-6" xfId="1643"/>
    <cellStyle name="T_Bieu tong hop nhu cau ung 2011 da chon loc -Mien nui" xfId="1644"/>
    <cellStyle name="T_Book1" xfId="1645"/>
    <cellStyle name="T_Book1_1" xfId="1646"/>
    <cellStyle name="T_Book1_1_Bieu mau ung 2011-Mien Trung-TPCP-11-6" xfId="1647"/>
    <cellStyle name="T_Book1_1_bieu tong hop" xfId="1648"/>
    <cellStyle name="T_Book1_1_Bieu tong hop nhu cau ung 2011 da chon loc -Mien nui" xfId="1649"/>
    <cellStyle name="T_Book1_1_Book1" xfId="1650"/>
    <cellStyle name="T_Book1_1_CPK" xfId="1651"/>
    <cellStyle name="T_Book1_1_KL NT dap nen Dot 3" xfId="1654"/>
    <cellStyle name="T_Book1_1_KL NT Dot 3" xfId="1655"/>
    <cellStyle name="T_Book1_1_Khoi luong cac hang muc chi tiet-702" xfId="1652"/>
    <cellStyle name="T_Book1_1_khoiluongbdacdoa" xfId="1653"/>
    <cellStyle name="T_Book1_1_mau KL vach son" xfId="1656"/>
    <cellStyle name="T_Book1_1_Nhu cau tam ung NSNN&amp;TPCP&amp;ODA theo tieu chi cua Bo (CV410_BKH-TH)_vung Tay Nguyen (11.6.2010)" xfId="1657"/>
    <cellStyle name="T_Book1_1_Tong hop ra soat von ung 2011 -Chau" xfId="1660"/>
    <cellStyle name="T_Book1_1_Tong hop -Yte-Giao thong-Thuy loi-24-6" xfId="1661"/>
    <cellStyle name="T_Book1_1_Thiet bi" xfId="1658"/>
    <cellStyle name="T_Book1_1_Thong ke cong" xfId="1659"/>
    <cellStyle name="T_Book1_2" xfId="1662"/>
    <cellStyle name="T_Book1_2_DTDuong dong tien -sua tham tra 2009 - luong 650" xfId="1663"/>
    <cellStyle name="T_Book1_Bao cao kiem toan kh 2010" xfId="1664"/>
    <cellStyle name="T_Book1_Bieu mau danh muc du an thuoc CTMTQG nam 2008" xfId="1665"/>
    <cellStyle name="T_Book1_Bieu mau danh muc du an thuoc CTMTQG nam 2008_bieu tong hop" xfId="1666"/>
    <cellStyle name="T_Book1_Bieu mau danh muc du an thuoc CTMTQG nam 2008_Tong hop ra soat von ung 2011 -Chau" xfId="1667"/>
    <cellStyle name="T_Book1_Bieu mau danh muc du an thuoc CTMTQG nam 2008_Tong hop -Yte-Giao thong-Thuy loi-24-6" xfId="1668"/>
    <cellStyle name="T_Book1_Bieu tong hop nhu cau ung 2011 da chon loc -Mien nui" xfId="1669"/>
    <cellStyle name="T_Book1_Book1" xfId="1670"/>
    <cellStyle name="T_Book1_Book1_1" xfId="1671"/>
    <cellStyle name="T_Book1_CPK" xfId="1672"/>
    <cellStyle name="T_Book1_DT492" xfId="1673"/>
    <cellStyle name="T_Book1_DT972000" xfId="1674"/>
    <cellStyle name="T_Book1_DTDuong dong tien -sua tham tra 2009 - luong 650" xfId="1675"/>
    <cellStyle name="T_Book1_Du an khoi cong moi nam 2010" xfId="1676"/>
    <cellStyle name="T_Book1_Du an khoi cong moi nam 2010_bieu tong hop" xfId="1677"/>
    <cellStyle name="T_Book1_Du an khoi cong moi nam 2010_Tong hop ra soat von ung 2011 -Chau" xfId="1678"/>
    <cellStyle name="T_Book1_Du an khoi cong moi nam 2010_Tong hop -Yte-Giao thong-Thuy loi-24-6" xfId="1679"/>
    <cellStyle name="T_Book1_Du toan khao sat (bo sung 2009)" xfId="1680"/>
    <cellStyle name="T_Book1_Hang Tom goi9 9-07(Cau 12 sua)" xfId="1681"/>
    <cellStyle name="T_Book1_HECO-NR78-Gui a-Vinh(15-5-07)" xfId="1682"/>
    <cellStyle name="T_Book1_Ke hoach 2010 (theo doi)2" xfId="1683"/>
    <cellStyle name="T_Book1_Ket qua phan bo von nam 2008" xfId="1684"/>
    <cellStyle name="T_Book1_KL NT dap nen Dot 3" xfId="1689"/>
    <cellStyle name="T_Book1_KL NT Dot 3" xfId="1690"/>
    <cellStyle name="T_Book1_KH XDCB_2008 lan 2 sua ngay 10-11" xfId="1685"/>
    <cellStyle name="T_Book1_Khoi luong cac hang muc chi tiet-702" xfId="1686"/>
    <cellStyle name="T_Book1_Khoi luong chinh Hang Tom" xfId="1687"/>
    <cellStyle name="T_Book1_khoiluongbdacdoa" xfId="1688"/>
    <cellStyle name="T_Book1_mau bieu doan giam sat 2010 (version 2)" xfId="1691"/>
    <cellStyle name="T_Book1_mau KL vach son" xfId="1692"/>
    <cellStyle name="T_Book1_Nhu cau von ung truoc 2011 Tha h Hoa + Nge An gui TW" xfId="1693"/>
    <cellStyle name="T_Book1_QD UBND tinh" xfId="1694"/>
    <cellStyle name="T_Book1_San sat hach moi" xfId="1695"/>
    <cellStyle name="T_Book1_Tong hop 3 tinh (11_5)-TTH-QN-QT" xfId="1698"/>
    <cellStyle name="T_Book1_Thiet bi" xfId="1696"/>
    <cellStyle name="T_Book1_Thong ke cong" xfId="1697"/>
    <cellStyle name="T_Book1_ung 2011 - 11-6-Thanh hoa-Nghe an" xfId="1699"/>
    <cellStyle name="T_Book1_ung truoc 2011 NSTW Thanh Hoa + Nge An gui Thu 12-5" xfId="1700"/>
    <cellStyle name="T_Book1_VBPL kiểm toán Đầu tư XDCB 2010" xfId="1701"/>
    <cellStyle name="T_Book1_Worksheet in D: My Documents Luc Van ban xu ly Nam 2011 Bao cao ra soat tam ung TPCP" xfId="1702"/>
    <cellStyle name="T_CDKT" xfId="1703"/>
    <cellStyle name="T_Copy of Bao cao  XDCB 7 thang nam 2008_So KH&amp;DT SUA" xfId="1708"/>
    <cellStyle name="T_Copy of Bao cao  XDCB 7 thang nam 2008_So KH&amp;DT SUA_bieu tong hop" xfId="1709"/>
    <cellStyle name="T_Copy of Bao cao  XDCB 7 thang nam 2008_So KH&amp;DT SUA_Tong hop ra soat von ung 2011 -Chau" xfId="1710"/>
    <cellStyle name="T_Copy of Bao cao  XDCB 7 thang nam 2008_So KH&amp;DT SUA_Tong hop -Yte-Giao thong-Thuy loi-24-6" xfId="1711"/>
    <cellStyle name="T_Copy of KS Du an dau tu" xfId="1712"/>
    <cellStyle name="T_Cost for DD (summary)" xfId="1713"/>
    <cellStyle name="T_CPK" xfId="1714"/>
    <cellStyle name="T_CTMTQG 2008" xfId="1715"/>
    <cellStyle name="T_CTMTQG 2008_Bieu mau danh muc du an thuoc CTMTQG nam 2008" xfId="1716"/>
    <cellStyle name="T_CTMTQG 2008_Hi-Tong hop KQ phan bo KH nam 08- LD fong giao 15-11-08" xfId="1717"/>
    <cellStyle name="T_CTMTQG 2008_Ket qua thuc hien nam 2008" xfId="1718"/>
    <cellStyle name="T_CTMTQG 2008_KH XDCB_2008 lan 1" xfId="1719"/>
    <cellStyle name="T_CTMTQG 2008_KH XDCB_2008 lan 1 sua ngay 27-10" xfId="1720"/>
    <cellStyle name="T_CTMTQG 2008_KH XDCB_2008 lan 2 sua ngay 10-11" xfId="1721"/>
    <cellStyle name="T_Chuan bi dau tu nam 2008" xfId="1704"/>
    <cellStyle name="T_Chuan bi dau tu nam 2008_bieu tong hop" xfId="1705"/>
    <cellStyle name="T_Chuan bi dau tu nam 2008_Tong hop ra soat von ung 2011 -Chau" xfId="1706"/>
    <cellStyle name="T_Chuan bi dau tu nam 2008_Tong hop -Yte-Giao thong-Thuy loi-24-6" xfId="1707"/>
    <cellStyle name="T_DT972000" xfId="1722"/>
    <cellStyle name="T_DTDuong dong tien -sua tham tra 2009 - luong 650" xfId="1723"/>
    <cellStyle name="T_dtTL598G1." xfId="1724"/>
    <cellStyle name="T_Du an khoi cong moi nam 2010" xfId="1725"/>
    <cellStyle name="T_Du an khoi cong moi nam 2010_bieu tong hop" xfId="1726"/>
    <cellStyle name="T_Du an khoi cong moi nam 2010_Tong hop ra soat von ung 2011 -Chau" xfId="1727"/>
    <cellStyle name="T_Du an khoi cong moi nam 2010_Tong hop -Yte-Giao thong-Thuy loi-24-6" xfId="1728"/>
    <cellStyle name="T_DU AN TKQH VA CHUAN BI DAU TU NAM 2007 sua ngay 9-11" xfId="1729"/>
    <cellStyle name="T_DU AN TKQH VA CHUAN BI DAU TU NAM 2007 sua ngay 9-11_Bieu mau danh muc du an thuoc CTMTQG nam 2008" xfId="1730"/>
    <cellStyle name="T_DU AN TKQH VA CHUAN BI DAU TU NAM 2007 sua ngay 9-11_Bieu mau danh muc du an thuoc CTMTQG nam 2008_bieu tong hop" xfId="1731"/>
    <cellStyle name="T_DU AN TKQH VA CHUAN BI DAU TU NAM 2007 sua ngay 9-11_Bieu mau danh muc du an thuoc CTMTQG nam 2008_Tong hop ra soat von ung 2011 -Chau" xfId="1732"/>
    <cellStyle name="T_DU AN TKQH VA CHUAN BI DAU TU NAM 2007 sua ngay 9-11_Bieu mau danh muc du an thuoc CTMTQG nam 2008_Tong hop -Yte-Giao thong-Thuy loi-24-6" xfId="1733"/>
    <cellStyle name="T_DU AN TKQH VA CHUAN BI DAU TU NAM 2007 sua ngay 9-11_Du an khoi cong moi nam 2010" xfId="1734"/>
    <cellStyle name="T_DU AN TKQH VA CHUAN BI DAU TU NAM 2007 sua ngay 9-11_Du an khoi cong moi nam 2010_bieu tong hop" xfId="1735"/>
    <cellStyle name="T_DU AN TKQH VA CHUAN BI DAU TU NAM 2007 sua ngay 9-11_Du an khoi cong moi nam 2010_Tong hop ra soat von ung 2011 -Chau" xfId="1736"/>
    <cellStyle name="T_DU AN TKQH VA CHUAN BI DAU TU NAM 2007 sua ngay 9-11_Du an khoi cong moi nam 2010_Tong hop -Yte-Giao thong-Thuy loi-24-6" xfId="1737"/>
    <cellStyle name="T_DU AN TKQH VA CHUAN BI DAU TU NAM 2007 sua ngay 9-11_Ket qua phan bo von nam 2008" xfId="1738"/>
    <cellStyle name="T_DU AN TKQH VA CHUAN BI DAU TU NAM 2007 sua ngay 9-11_KH XDCB_2008 lan 2 sua ngay 10-11" xfId="1739"/>
    <cellStyle name="T_du toan dieu chinh  20-8-2006" xfId="1740"/>
    <cellStyle name="T_Du toan khao sat (bo sung 2009)" xfId="1741"/>
    <cellStyle name="T_du toan lan 3" xfId="1742"/>
    <cellStyle name="T_Ke hoach KTXH  nam 2009_PKT thang 11 nam 2008" xfId="1743"/>
    <cellStyle name="T_Ke hoach KTXH  nam 2009_PKT thang 11 nam 2008_bieu tong hop" xfId="1744"/>
    <cellStyle name="T_Ke hoach KTXH  nam 2009_PKT thang 11 nam 2008_Tong hop ra soat von ung 2011 -Chau" xfId="1745"/>
    <cellStyle name="T_Ke hoach KTXH  nam 2009_PKT thang 11 nam 2008_Tong hop -Yte-Giao thong-Thuy loi-24-6" xfId="1746"/>
    <cellStyle name="T_Ket qua dau thau" xfId="1747"/>
    <cellStyle name="T_Ket qua dau thau_bieu tong hop" xfId="1748"/>
    <cellStyle name="T_Ket qua dau thau_Tong hop ra soat von ung 2011 -Chau" xfId="1749"/>
    <cellStyle name="T_Ket qua dau thau_Tong hop -Yte-Giao thong-Thuy loi-24-6" xfId="1750"/>
    <cellStyle name="T_Ket qua phan bo von nam 2008" xfId="1751"/>
    <cellStyle name="T_KL NT dap nen Dot 3" xfId="1755"/>
    <cellStyle name="T_KL NT Dot 3" xfId="1756"/>
    <cellStyle name="T_Kl VL ranh" xfId="1757"/>
    <cellStyle name="T_KLNMD1" xfId="1758"/>
    <cellStyle name="T_KH XDCB_2008 lan 2 sua ngay 10-11" xfId="1752"/>
    <cellStyle name="T_Khao satD1" xfId="1753"/>
    <cellStyle name="T_Khoi luong cac hang muc chi tiet-702" xfId="1754"/>
    <cellStyle name="T_mau bieu doan giam sat 2010 (version 2)" xfId="1759"/>
    <cellStyle name="T_mau KL vach son" xfId="1760"/>
    <cellStyle name="T_Me_Tri_6_07" xfId="1761"/>
    <cellStyle name="T_N2 thay dat (N1-1)" xfId="1762"/>
    <cellStyle name="T_Phuong an can doi nam 2008" xfId="1763"/>
    <cellStyle name="T_Phuong an can doi nam 2008_bieu tong hop" xfId="1764"/>
    <cellStyle name="T_Phuong an can doi nam 2008_Tong hop ra soat von ung 2011 -Chau" xfId="1765"/>
    <cellStyle name="T_Phuong an can doi nam 2008_Tong hop -Yte-Giao thong-Thuy loi-24-6" xfId="1766"/>
    <cellStyle name="T_San sat hach moi" xfId="1767"/>
    <cellStyle name="T_Seagame(BTL)" xfId="1768"/>
    <cellStyle name="T_So GTVT" xfId="1769"/>
    <cellStyle name="T_So GTVT_bieu tong hop" xfId="1770"/>
    <cellStyle name="T_So GTVT_Tong hop ra soat von ung 2011 -Chau" xfId="1771"/>
    <cellStyle name="T_So GTVT_Tong hop -Yte-Giao thong-Thuy loi-24-6" xfId="1772"/>
    <cellStyle name="T_SS BVTC cau va cong tuyen Le Chan" xfId="1773"/>
    <cellStyle name="T_Tay Bac 1" xfId="1774"/>
    <cellStyle name="T_Tay Bac 1_Bao cao kiem toan kh 2010" xfId="1775"/>
    <cellStyle name="T_Tay Bac 1_Book1" xfId="1776"/>
    <cellStyle name="T_Tay Bac 1_Ke hoach 2010 (theo doi)2" xfId="1777"/>
    <cellStyle name="T_Tay Bac 1_QD UBND tinh" xfId="1778"/>
    <cellStyle name="T_Tay Bac 1_Worksheet in D: My Documents Luc Van ban xu ly Nam 2011 Bao cao ra soat tam ung TPCP" xfId="1779"/>
    <cellStyle name="T_TDT + duong(8-5-07)" xfId="1780"/>
    <cellStyle name="T_tien2004" xfId="1787"/>
    <cellStyle name="T_TKE-ChoDon-sua" xfId="1788"/>
    <cellStyle name="T_Tong hop 3 tinh (11_5)-TTH-QN-QT" xfId="1789"/>
    <cellStyle name="T_Tong hop khoi luong Dot 3" xfId="1790"/>
    <cellStyle name="T_Tong hop theo doi von TPCP" xfId="1791"/>
    <cellStyle name="T_Tong hop theo doi von TPCP_Bao cao kiem toan kh 2010" xfId="1792"/>
    <cellStyle name="T_Tong hop theo doi von TPCP_Ke hoach 2010 (theo doi)2" xfId="1793"/>
    <cellStyle name="T_Tong hop theo doi von TPCP_QD UBND tinh" xfId="1794"/>
    <cellStyle name="T_Tong hop theo doi von TPCP_Worksheet in D: My Documents Luc Van ban xu ly Nam 2011 Bao cao ra soat tam ung TPCP" xfId="1795"/>
    <cellStyle name="T_tham_tra_du_toan" xfId="1781"/>
    <cellStyle name="T_Thiet bi" xfId="1782"/>
    <cellStyle name="T_THKL 1303" xfId="1783"/>
    <cellStyle name="T_Thong ke" xfId="1784"/>
    <cellStyle name="T_Thong ke cong" xfId="1785"/>
    <cellStyle name="T_thong ke giao dan sinh" xfId="1786"/>
    <cellStyle name="T_VBPL kiểm toán Đầu tư XDCB 2010" xfId="1796"/>
    <cellStyle name="T_Worksheet in D: ... Hoan thien 5goi theo KL cu 28-06 4.Cong 5goi Coc 33-Km1+490.13 Cong coc 33-km1+490.13" xfId="1797"/>
    <cellStyle name="T_ÿÿÿÿÿ" xfId="1798"/>
    <cellStyle name="Text" xfId="1799"/>
    <cellStyle name="Text Indent A" xfId="1800"/>
    <cellStyle name="Text Indent B" xfId="1801"/>
    <cellStyle name="Text Indent C" xfId="1802"/>
    <cellStyle name="Text_Bao cao doan cong tac cua Bo thang 4-2010" xfId="1803"/>
    <cellStyle name="Tien1" xfId="1814"/>
    <cellStyle name="Tiêu đề" xfId="1815"/>
    <cellStyle name="Times New Roman" xfId="1816"/>
    <cellStyle name="Tính toán" xfId="1817"/>
    <cellStyle name="tit1" xfId="1818"/>
    <cellStyle name="tit2" xfId="1819"/>
    <cellStyle name="tit3" xfId="1820"/>
    <cellStyle name="tit4" xfId="1821"/>
    <cellStyle name="Title 2" xfId="1822"/>
    <cellStyle name="Tong so" xfId="1824"/>
    <cellStyle name="tong so 1" xfId="1825"/>
    <cellStyle name="Tongcong" xfId="1826"/>
    <cellStyle name="Total" xfId="1828" builtinId="25" customBuiltin="1"/>
    <cellStyle name="Total 2" xfId="1829"/>
    <cellStyle name="Total 3" xfId="1830"/>
    <cellStyle name="Tổng" xfId="1823"/>
    <cellStyle name="Tốt" xfId="1827"/>
    <cellStyle name="tt1" xfId="1833"/>
    <cellStyle name="Tuan" xfId="1834"/>
    <cellStyle name="Tusental (0)_pldt" xfId="1835"/>
    <cellStyle name="Tusental_pldt" xfId="1836"/>
    <cellStyle name="th" xfId="1804"/>
    <cellStyle name="than" xfId="1805"/>
    <cellStyle name="thanh" xfId="1806"/>
    <cellStyle name="þ_x001d_ð¤_x000c_¯þ_x0014__x000d_¨þU_x0001_À_x0004_ _x0015__x000f__x0001__x0001_" xfId="1807"/>
    <cellStyle name="þ_x001d_ð·_x000c_æþ'_x000d_ßþU_x0001_Ø_x0005_ü_x0014__x0007__x0001__x0001_" xfId="1808"/>
    <cellStyle name="þ_x001d_ðÇ%Uý—&amp;Hý9_x0008_Ÿ s_x000a__x0007__x0001__x0001_" xfId="1809"/>
    <cellStyle name="þ_x001d_ðK_x000c_Fý_x001b__x000d_9ýU_x0001_Ð_x0008_¦)_x0007__x0001__x0001_" xfId="1810"/>
    <cellStyle name="thuong-10" xfId="1811"/>
    <cellStyle name="thuong-11" xfId="1812"/>
    <cellStyle name="Thuyet minh" xfId="1813"/>
    <cellStyle name="trang" xfId="1831"/>
    <cellStyle name="Trung tính" xfId="1832"/>
    <cellStyle name="u" xfId="1837"/>
    <cellStyle name="ux_3_¼­¿ï-¾È»ê" xfId="1838"/>
    <cellStyle name="Valuta (0)_CALPREZZ" xfId="1839"/>
    <cellStyle name="Valuta_ PESO ELETTR." xfId="1840"/>
    <cellStyle name="VANG1" xfId="1843"/>
    <cellStyle name="Văn bản Cảnh báo" xfId="1841"/>
    <cellStyle name="Văn bản Giải thích" xfId="1842"/>
    <cellStyle name="viet" xfId="1844"/>
    <cellStyle name="viet2" xfId="1845"/>
    <cellStyle name="Vietnam 1" xfId="1846"/>
    <cellStyle name="VN new romanNormal" xfId="1847"/>
    <cellStyle name="vn time 10" xfId="1848"/>
    <cellStyle name="Vn Time 13" xfId="1849"/>
    <cellStyle name="Vn Time 14" xfId="1850"/>
    <cellStyle name="VN time new roman" xfId="1851"/>
    <cellStyle name="vn_time" xfId="1852"/>
    <cellStyle name="vnbo" xfId="1853"/>
    <cellStyle name="vntxt1" xfId="1858"/>
    <cellStyle name="vntxt2" xfId="1859"/>
    <cellStyle name="vnhead1" xfId="1854"/>
    <cellStyle name="vnhead2" xfId="1855"/>
    <cellStyle name="vnhead3" xfId="1856"/>
    <cellStyle name="vnhead4" xfId="1857"/>
    <cellStyle name="W?hrung [0]_35ERI8T2gbIEMixb4v26icuOo" xfId="1860"/>
    <cellStyle name="W?hrung_35ERI8T2gbIEMixb4v26icuOo" xfId="1861"/>
    <cellStyle name="Währung [0]_68574_Materialbedarfsliste" xfId="1862"/>
    <cellStyle name="Währung_68574_Materialbedarfsliste" xfId="1863"/>
    <cellStyle name="Walutowy [0]_Invoices2001Slovakia" xfId="1864"/>
    <cellStyle name="Walutowy_Invoices2001Slovakia" xfId="1865"/>
    <cellStyle name="Warning Text 2" xfId="1866"/>
    <cellStyle name="wrap" xfId="1867"/>
    <cellStyle name="Wไhrung [0]_35ERI8T2gbIEMixb4v26icuOo" xfId="1868"/>
    <cellStyle name="Wไhrung_35ERI8T2gbIEMixb4v26icuOo" xfId="1869"/>
    <cellStyle name="Xấu" xfId="1870"/>
    <cellStyle name="xuan" xfId="1871"/>
    <cellStyle name="y" xfId="1872"/>
    <cellStyle name="Ý kh¸c_B¶ng 1 (2)" xfId="1873"/>
    <cellStyle name="เครื่องหมายสกุลเงิน [0]_FTC_OFFER" xfId="1874"/>
    <cellStyle name="เครื่องหมายสกุลเงิน_FTC_OFFER" xfId="1875"/>
    <cellStyle name="ปกติ_FTC_OFFER" xfId="1876"/>
    <cellStyle name=" [0.00]_ Att. 1- Cover" xfId="1877"/>
    <cellStyle name="_ Att. 1- Cover" xfId="1878"/>
    <cellStyle name="?_ Att. 1- Cover" xfId="1879"/>
    <cellStyle name="똿뗦먛귟 [0.00]_PRODUCT DETAIL Q1" xfId="1880"/>
    <cellStyle name="똿뗦먛귟_PRODUCT DETAIL Q1" xfId="1881"/>
    <cellStyle name="믅됞 [0.00]_PRODUCT DETAIL Q1" xfId="1882"/>
    <cellStyle name="믅됞_PRODUCT DETAIL Q1" xfId="1883"/>
    <cellStyle name="백분율_††††† " xfId="1884"/>
    <cellStyle name="뷭?_BOOKSHIP" xfId="1885"/>
    <cellStyle name="안건회계법인" xfId="1886"/>
    <cellStyle name="콤마 [ - 유형1" xfId="1887"/>
    <cellStyle name="콤마 [ - 유형2" xfId="1888"/>
    <cellStyle name="콤마 [ - 유형3" xfId="1889"/>
    <cellStyle name="콤마 [ - 유형4" xfId="1890"/>
    <cellStyle name="콤마 [ - 유형5" xfId="1891"/>
    <cellStyle name="콤마 [ - 유형6" xfId="1892"/>
    <cellStyle name="콤마 [ - 유형7" xfId="1893"/>
    <cellStyle name="콤마 [ - 유형8" xfId="1894"/>
    <cellStyle name="콤마 [0]_ 비목별 월별기술 " xfId="1895"/>
    <cellStyle name="콤마_ 비목별 월별기술 " xfId="1896"/>
    <cellStyle name="통화 [0]_††††† " xfId="1897"/>
    <cellStyle name="통화_††††† " xfId="1898"/>
    <cellStyle name="표준_ 97년 경영분석(안)" xfId="1899"/>
    <cellStyle name="표줠_Sheet1_1_총괄표 (수출입) (2)" xfId="1900"/>
    <cellStyle name="一般_00Q3902REV.1" xfId="1901"/>
    <cellStyle name="千分位[0]_00Q3902REV.1" xfId="1902"/>
    <cellStyle name="千分位_00Q3902REV.1" xfId="1903"/>
    <cellStyle name="桁区切り [0.00]_BE-BQ" xfId="1904"/>
    <cellStyle name="桁区切り_BE-BQ" xfId="1905"/>
    <cellStyle name="標準_(A1)BOQ " xfId="1906"/>
    <cellStyle name="貨幣 [0]_00Q3902REV.1" xfId="1907"/>
    <cellStyle name="貨幣[0]_BRE" xfId="1908"/>
    <cellStyle name="貨幣_00Q3902REV.1" xfId="1909"/>
    <cellStyle name="通貨 [0.00]_BE-BQ" xfId="1910"/>
    <cellStyle name="通貨_BE-BQ" xfId="19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Phuluc1!A1"/></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xdr:colOff>
      <xdr:row>2</xdr:row>
      <xdr:rowOff>95250</xdr:rowOff>
    </xdr:to>
    <xdr:sp macro="" textlink="">
      <xdr:nvSpPr>
        <xdr:cNvPr id="2" name="TextBox 1">
          <a:hlinkClick xmlns:r="http://schemas.openxmlformats.org/officeDocument/2006/relationships" r:id="rId1"/>
        </xdr:cNvPr>
        <xdr:cNvSpPr txBox="1"/>
      </xdr:nvSpPr>
      <xdr:spPr>
        <a:xfrm>
          <a:off x="9315450" y="161925"/>
          <a:ext cx="1085850" cy="2571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Trở</a:t>
          </a:r>
          <a:r>
            <a:rPr lang="en-US" sz="1100" b="1" baseline="0">
              <a:solidFill>
                <a:srgbClr val="FF0000"/>
              </a:solidFill>
            </a:rPr>
            <a:t> về</a:t>
          </a:r>
          <a:endParaRPr lang="en-US" sz="11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43"/>
  <sheetViews>
    <sheetView view="pageBreakPreview" zoomScale="60" zoomScaleNormal="100" workbookViewId="0">
      <selection activeCell="C9" sqref="C9"/>
    </sheetView>
  </sheetViews>
  <sheetFormatPr defaultColWidth="9.1796875" defaultRowHeight="18"/>
  <cols>
    <col min="1" max="1" width="6.26953125" style="635" customWidth="1"/>
    <col min="2" max="2" width="46.6328125" style="635" customWidth="1"/>
    <col min="3" max="3" width="19.90625" style="635" customWidth="1"/>
    <col min="4" max="4" width="22.81640625" style="640" customWidth="1"/>
    <col min="5" max="5" width="11.81640625" style="635" customWidth="1"/>
    <col min="6" max="6" width="22.26953125" style="638" customWidth="1"/>
    <col min="7" max="7" width="15.54296875" style="635" bestFit="1" customWidth="1"/>
    <col min="8" max="16384" width="9.1796875" style="635"/>
  </cols>
  <sheetData>
    <row r="1" spans="1:7" ht="17.25" customHeight="1">
      <c r="A1" s="633"/>
      <c r="B1" s="634"/>
      <c r="D1" s="636" t="s">
        <v>56</v>
      </c>
      <c r="E1" s="637"/>
    </row>
    <row r="2" spans="1:7" ht="17.25" customHeight="1">
      <c r="A2" s="633"/>
      <c r="B2" s="634"/>
      <c r="D2" s="639"/>
      <c r="E2" s="639"/>
    </row>
    <row r="3" spans="1:7" ht="6" customHeight="1"/>
    <row r="4" spans="1:7">
      <c r="A4" s="631" t="s">
        <v>558</v>
      </c>
      <c r="B4" s="632"/>
      <c r="C4" s="632"/>
      <c r="D4" s="632"/>
      <c r="E4" s="632"/>
    </row>
    <row r="5" spans="1:7" ht="39.5" customHeight="1">
      <c r="A5" s="683" t="s">
        <v>579</v>
      </c>
      <c r="B5" s="641"/>
      <c r="C5" s="641"/>
      <c r="D5" s="641"/>
      <c r="E5" s="641"/>
    </row>
    <row r="6" spans="1:7" ht="12.75" customHeight="1">
      <c r="A6" s="642"/>
      <c r="B6" s="642"/>
      <c r="C6" s="642"/>
      <c r="D6" s="643"/>
      <c r="E6" s="642"/>
    </row>
    <row r="7" spans="1:7">
      <c r="D7" s="682" t="s">
        <v>106</v>
      </c>
      <c r="E7" s="682"/>
      <c r="F7" s="638">
        <v>56795082245</v>
      </c>
    </row>
    <row r="8" spans="1:7" ht="58.5" customHeight="1">
      <c r="A8" s="644" t="s">
        <v>7</v>
      </c>
      <c r="B8" s="645" t="s">
        <v>36</v>
      </c>
      <c r="C8" s="645" t="s">
        <v>28</v>
      </c>
      <c r="D8" s="646" t="s">
        <v>29</v>
      </c>
      <c r="E8" s="645" t="s">
        <v>21</v>
      </c>
    </row>
    <row r="9" spans="1:7">
      <c r="A9" s="647" t="s">
        <v>10</v>
      </c>
      <c r="B9" s="648" t="s">
        <v>58</v>
      </c>
      <c r="C9" s="649">
        <f>C10+C13+C17+C18+C19+C20</f>
        <v>307752000000</v>
      </c>
      <c r="D9" s="650">
        <f>D10+D13+D17+D18+D19+D20</f>
        <v>506989641346</v>
      </c>
      <c r="E9" s="651">
        <f t="shared" ref="E9:E15" si="0">D9/C9*100</f>
        <v>164.7396739407055</v>
      </c>
      <c r="F9" s="652">
        <f>240027779812-19367270624</f>
        <v>220660509188</v>
      </c>
      <c r="G9" s="653"/>
    </row>
    <row r="10" spans="1:7" ht="18" customHeight="1">
      <c r="A10" s="654">
        <v>1</v>
      </c>
      <c r="B10" s="655" t="s">
        <v>37</v>
      </c>
      <c r="C10" s="656">
        <f>SUM(C11:C12)</f>
        <v>41147000000</v>
      </c>
      <c r="D10" s="657">
        <f>SUM(D11:D12)</f>
        <v>56795082245</v>
      </c>
      <c r="E10" s="658">
        <f t="shared" si="0"/>
        <v>138.02970385447298</v>
      </c>
      <c r="F10" s="652"/>
    </row>
    <row r="11" spans="1:7" ht="18" customHeight="1">
      <c r="A11" s="659"/>
      <c r="B11" s="660" t="s">
        <v>38</v>
      </c>
      <c r="C11" s="656">
        <v>14948000000</v>
      </c>
      <c r="D11" s="661">
        <v>19801754018</v>
      </c>
      <c r="E11" s="662">
        <f t="shared" si="0"/>
        <v>132.47092599678888</v>
      </c>
      <c r="F11" s="663"/>
    </row>
    <row r="12" spans="1:7" ht="44" customHeight="1">
      <c r="A12" s="659"/>
      <c r="B12" s="664" t="s">
        <v>55</v>
      </c>
      <c r="C12" s="656">
        <v>26199000000</v>
      </c>
      <c r="D12" s="661">
        <v>36993328227</v>
      </c>
      <c r="E12" s="662">
        <f t="shared" si="0"/>
        <v>141.20129862590176</v>
      </c>
      <c r="F12" s="652"/>
    </row>
    <row r="13" spans="1:7" ht="18" customHeight="1">
      <c r="A13" s="654">
        <v>2</v>
      </c>
      <c r="B13" s="655" t="s">
        <v>40</v>
      </c>
      <c r="C13" s="656">
        <f>SUM(C14:C15)</f>
        <v>266605000000</v>
      </c>
      <c r="D13" s="657">
        <f>SUM(D14:D15)</f>
        <v>264168143363</v>
      </c>
      <c r="E13" s="658">
        <f t="shared" si="0"/>
        <v>99.085967391084182</v>
      </c>
    </row>
    <row r="14" spans="1:7" ht="18" customHeight="1">
      <c r="A14" s="654"/>
      <c r="B14" s="660" t="s">
        <v>41</v>
      </c>
      <c r="C14" s="656">
        <v>101233000000</v>
      </c>
      <c r="D14" s="661">
        <v>100757760900</v>
      </c>
      <c r="E14" s="658">
        <f t="shared" si="0"/>
        <v>99.530549228018529</v>
      </c>
      <c r="F14" s="652"/>
    </row>
    <row r="15" spans="1:7" ht="18" customHeight="1">
      <c r="A15" s="654"/>
      <c r="B15" s="660" t="s">
        <v>42</v>
      </c>
      <c r="C15" s="656">
        <v>165372000000</v>
      </c>
      <c r="D15" s="661">
        <v>163410382463</v>
      </c>
      <c r="E15" s="658">
        <f t="shared" si="0"/>
        <v>98.813815194228766</v>
      </c>
    </row>
    <row r="16" spans="1:7" ht="18" customHeight="1">
      <c r="A16" s="654"/>
      <c r="B16" s="655" t="s">
        <v>43</v>
      </c>
      <c r="C16" s="661"/>
      <c r="D16" s="657"/>
      <c r="E16" s="658"/>
    </row>
    <row r="17" spans="1:7" ht="18" customHeight="1">
      <c r="A17" s="654">
        <v>3</v>
      </c>
      <c r="B17" s="655" t="s">
        <v>14</v>
      </c>
      <c r="C17" s="665"/>
      <c r="D17" s="657"/>
      <c r="E17" s="658"/>
    </row>
    <row r="18" spans="1:7" ht="18" customHeight="1">
      <c r="A18" s="654">
        <v>4</v>
      </c>
      <c r="B18" s="655" t="s">
        <v>44</v>
      </c>
      <c r="C18" s="656"/>
      <c r="D18" s="657">
        <v>184075248070</v>
      </c>
      <c r="E18" s="658"/>
      <c r="F18" s="652"/>
    </row>
    <row r="19" spans="1:7" ht="18" customHeight="1">
      <c r="A19" s="654">
        <v>5</v>
      </c>
      <c r="B19" s="655" t="s">
        <v>332</v>
      </c>
      <c r="C19" s="656"/>
      <c r="D19" s="657"/>
      <c r="E19" s="658"/>
      <c r="F19" s="666"/>
    </row>
    <row r="20" spans="1:7" ht="18" customHeight="1">
      <c r="A20" s="654">
        <v>7</v>
      </c>
      <c r="B20" s="655" t="s">
        <v>46</v>
      </c>
      <c r="C20" s="656"/>
      <c r="D20" s="657">
        <v>1951167668</v>
      </c>
      <c r="E20" s="658"/>
    </row>
    <row r="21" spans="1:7" s="669" customFormat="1" ht="21" customHeight="1">
      <c r="A21" s="647" t="s">
        <v>11</v>
      </c>
      <c r="B21" s="648" t="s">
        <v>59</v>
      </c>
      <c r="C21" s="649">
        <f>+C22+C29+C32</f>
        <v>307752000000</v>
      </c>
      <c r="D21" s="649">
        <f>+D22+D29+D32</f>
        <v>504504511576</v>
      </c>
      <c r="E21" s="651">
        <f>D21/C21*100</f>
        <v>163.93216342249605</v>
      </c>
      <c r="F21" s="667">
        <f>+D9-D21</f>
        <v>2485129770</v>
      </c>
      <c r="G21" s="668"/>
    </row>
    <row r="22" spans="1:7" s="669" customFormat="1" ht="21" customHeight="1">
      <c r="A22" s="647" t="s">
        <v>8</v>
      </c>
      <c r="B22" s="648" t="s">
        <v>477</v>
      </c>
      <c r="C22" s="649">
        <f>SUM(C23:C27)</f>
        <v>142380000000</v>
      </c>
      <c r="D22" s="649">
        <f>SUM(D23:D27)</f>
        <v>154414111386</v>
      </c>
      <c r="E22" s="651"/>
      <c r="F22" s="667">
        <f>+D21-D32</f>
        <v>331675996305</v>
      </c>
      <c r="G22" s="668"/>
    </row>
    <row r="23" spans="1:7" ht="18" customHeight="1">
      <c r="A23" s="654">
        <v>1</v>
      </c>
      <c r="B23" s="655" t="s">
        <v>35</v>
      </c>
      <c r="C23" s="656">
        <v>10584700000</v>
      </c>
      <c r="D23" s="656">
        <f>+'PL5137'!D13</f>
        <v>20988510649</v>
      </c>
      <c r="E23" s="658">
        <f>D23/C23*100</f>
        <v>198.29102996778369</v>
      </c>
      <c r="F23" s="670"/>
    </row>
    <row r="24" spans="1:7" ht="18" customHeight="1">
      <c r="A24" s="654">
        <v>2</v>
      </c>
      <c r="B24" s="655" t="s">
        <v>34</v>
      </c>
      <c r="C24" s="656">
        <v>128948000000</v>
      </c>
      <c r="D24" s="657">
        <f>+'PL5137'!D22</f>
        <v>133245886459</v>
      </c>
      <c r="E24" s="658">
        <f>D24/C24*100</f>
        <v>103.33303847985233</v>
      </c>
    </row>
    <row r="25" spans="1:7" ht="18" customHeight="1">
      <c r="A25" s="654">
        <v>3</v>
      </c>
      <c r="B25" s="655" t="s">
        <v>6</v>
      </c>
      <c r="C25" s="656">
        <v>2847300000</v>
      </c>
      <c r="D25" s="657"/>
      <c r="E25" s="658">
        <f>D25/C25*100</f>
        <v>0</v>
      </c>
    </row>
    <row r="26" spans="1:7" ht="28.5" customHeight="1">
      <c r="A26" s="671">
        <v>4</v>
      </c>
      <c r="B26" s="672" t="s">
        <v>333</v>
      </c>
      <c r="C26" s="673"/>
      <c r="D26" s="674"/>
      <c r="E26" s="658"/>
    </row>
    <row r="27" spans="1:7" ht="18.75" customHeight="1">
      <c r="A27" s="671">
        <v>5</v>
      </c>
      <c r="B27" s="672" t="s">
        <v>54</v>
      </c>
      <c r="C27" s="675"/>
      <c r="D27" s="674">
        <v>179714278</v>
      </c>
      <c r="E27" s="658"/>
    </row>
    <row r="28" spans="1:7" ht="6" customHeight="1">
      <c r="A28" s="676"/>
      <c r="B28" s="677"/>
      <c r="C28" s="677"/>
      <c r="D28" s="677"/>
      <c r="E28" s="658"/>
      <c r="F28" s="678"/>
    </row>
    <row r="29" spans="1:7" s="669" customFormat="1">
      <c r="A29" s="647" t="s">
        <v>9</v>
      </c>
      <c r="B29" s="648" t="s">
        <v>464</v>
      </c>
      <c r="C29" s="649">
        <f>SUM(C30:C31)</f>
        <v>165372000000</v>
      </c>
      <c r="D29" s="649">
        <f>SUM(D30:D31)</f>
        <v>177261884919</v>
      </c>
      <c r="E29" s="658">
        <f>D29/C29*100</f>
        <v>107.18978117154052</v>
      </c>
      <c r="F29" s="667"/>
      <c r="G29" s="668"/>
    </row>
    <row r="30" spans="1:7" ht="18" customHeight="1">
      <c r="A30" s="654">
        <v>1</v>
      </c>
      <c r="B30" s="655" t="s">
        <v>465</v>
      </c>
      <c r="C30" s="656">
        <v>141060000000</v>
      </c>
      <c r="D30" s="657">
        <f>+'PL5137'!D31</f>
        <v>159342552087</v>
      </c>
      <c r="E30" s="658">
        <f>D30/C30*100</f>
        <v>112.96083374946831</v>
      </c>
    </row>
    <row r="31" spans="1:7" ht="18" customHeight="1">
      <c r="A31" s="654">
        <v>2</v>
      </c>
      <c r="B31" s="655" t="s">
        <v>466</v>
      </c>
      <c r="C31" s="656">
        <v>24312000000</v>
      </c>
      <c r="D31" s="657">
        <f>+'PL5137'!D35</f>
        <v>17919332832</v>
      </c>
      <c r="E31" s="658">
        <f>D31/C31*100</f>
        <v>73.705712537018755</v>
      </c>
    </row>
    <row r="32" spans="1:7" s="669" customFormat="1" ht="21" customHeight="1">
      <c r="A32" s="647" t="s">
        <v>12</v>
      </c>
      <c r="B32" s="648" t="s">
        <v>467</v>
      </c>
      <c r="C32" s="649"/>
      <c r="D32" s="650">
        <v>172828515271</v>
      </c>
      <c r="E32" s="651"/>
      <c r="F32" s="667"/>
      <c r="G32" s="668"/>
    </row>
    <row r="33" spans="1:7" s="669" customFormat="1" ht="21" customHeight="1">
      <c r="A33" s="647" t="s">
        <v>18</v>
      </c>
      <c r="B33" s="648" t="s">
        <v>468</v>
      </c>
      <c r="C33" s="649"/>
      <c r="D33" s="650">
        <f>+D9-D21</f>
        <v>2485129770</v>
      </c>
      <c r="E33" s="651"/>
      <c r="F33" s="667"/>
      <c r="G33" s="668"/>
    </row>
    <row r="34" spans="1:7" s="669" customFormat="1" ht="21" customHeight="1">
      <c r="A34" s="647" t="s">
        <v>242</v>
      </c>
      <c r="B34" s="648" t="s">
        <v>469</v>
      </c>
      <c r="C34" s="649"/>
      <c r="D34" s="650"/>
      <c r="E34" s="651"/>
      <c r="F34" s="667"/>
      <c r="G34" s="668"/>
    </row>
    <row r="35" spans="1:7" ht="18" customHeight="1">
      <c r="A35" s="654" t="s">
        <v>8</v>
      </c>
      <c r="B35" s="655" t="s">
        <v>470</v>
      </c>
      <c r="C35" s="656"/>
      <c r="D35" s="657"/>
      <c r="E35" s="658"/>
    </row>
    <row r="36" spans="1:7" ht="37.5" customHeight="1">
      <c r="A36" s="654" t="s">
        <v>9</v>
      </c>
      <c r="B36" s="679" t="s">
        <v>471</v>
      </c>
      <c r="C36" s="656"/>
      <c r="D36" s="657"/>
      <c r="E36" s="658"/>
    </row>
    <row r="37" spans="1:7" s="669" customFormat="1" ht="21" customHeight="1">
      <c r="A37" s="647" t="s">
        <v>244</v>
      </c>
      <c r="B37" s="648" t="s">
        <v>472</v>
      </c>
      <c r="C37" s="649"/>
      <c r="D37" s="650"/>
      <c r="E37" s="651"/>
      <c r="F37" s="667"/>
      <c r="G37" s="668"/>
    </row>
    <row r="38" spans="1:7" ht="18" customHeight="1">
      <c r="A38" s="654" t="s">
        <v>8</v>
      </c>
      <c r="B38" s="655" t="s">
        <v>473</v>
      </c>
      <c r="C38" s="656"/>
      <c r="D38" s="657"/>
      <c r="E38" s="658"/>
    </row>
    <row r="39" spans="1:7" ht="18" customHeight="1">
      <c r="A39" s="654" t="s">
        <v>9</v>
      </c>
      <c r="B39" s="655" t="s">
        <v>474</v>
      </c>
      <c r="C39" s="656"/>
      <c r="D39" s="657"/>
      <c r="E39" s="658"/>
    </row>
    <row r="40" spans="1:7" s="669" customFormat="1" ht="21" customHeight="1">
      <c r="A40" s="647" t="s">
        <v>475</v>
      </c>
      <c r="B40" s="648" t="s">
        <v>476</v>
      </c>
      <c r="C40" s="649"/>
      <c r="D40" s="650"/>
      <c r="E40" s="651"/>
      <c r="F40" s="667"/>
      <c r="G40" s="668"/>
    </row>
    <row r="41" spans="1:7">
      <c r="A41" s="680"/>
      <c r="B41" s="680"/>
      <c r="C41" s="680"/>
      <c r="D41" s="681"/>
      <c r="E41" s="680"/>
    </row>
    <row r="42" spans="1:7" ht="18" customHeight="1">
      <c r="C42" s="632"/>
      <c r="D42" s="632"/>
      <c r="E42" s="632"/>
    </row>
    <row r="43" spans="1:7">
      <c r="C43" s="631"/>
      <c r="D43" s="632"/>
      <c r="E43" s="632"/>
    </row>
  </sheetData>
  <mergeCells count="9">
    <mergeCell ref="C43:E43"/>
    <mergeCell ref="D2:E2"/>
    <mergeCell ref="A5:E5"/>
    <mergeCell ref="D7:E7"/>
    <mergeCell ref="A1:B1"/>
    <mergeCell ref="D1:E1"/>
    <mergeCell ref="A2:B2"/>
    <mergeCell ref="A4:E4"/>
    <mergeCell ref="C42:E42"/>
  </mergeCells>
  <pageMargins left="0.78740157480314965" right="0.78740157480314965" top="0.78740157480314965" bottom="0.78740157480314965" header="0.31496062992125984" footer="0.31496062992125984"/>
  <pageSetup paperSize="9" scale="81" fitToHeight="0" orientation="portrait" verticalDpi="0"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6"/>
  <sheetViews>
    <sheetView workbookViewId="0">
      <selection sqref="A1:B2"/>
    </sheetView>
  </sheetViews>
  <sheetFormatPr defaultColWidth="9.1796875" defaultRowHeight="12.5"/>
  <cols>
    <col min="1" max="1" width="4.453125" style="426" customWidth="1"/>
    <col min="2" max="2" width="39.54296875" style="426" customWidth="1"/>
    <col min="3" max="3" width="15.7265625" style="426" customWidth="1"/>
    <col min="4" max="4" width="16.7265625" style="427" customWidth="1"/>
    <col min="5" max="5" width="14.26953125" style="426" customWidth="1"/>
    <col min="6" max="6" width="15.54296875" style="426" hidden="1" customWidth="1"/>
    <col min="7" max="16384" width="9.1796875" style="426"/>
  </cols>
  <sheetData>
    <row r="1" spans="1:6" ht="15.5">
      <c r="A1" s="2"/>
      <c r="B1" s="1"/>
      <c r="D1" s="492" t="s">
        <v>60</v>
      </c>
      <c r="E1" s="493"/>
    </row>
    <row r="2" spans="1:6" ht="15.5">
      <c r="A2" s="2"/>
      <c r="B2" s="1"/>
      <c r="D2" s="496"/>
      <c r="E2" s="496"/>
    </row>
    <row r="3" spans="1:6" ht="6.75" customHeight="1"/>
    <row r="4" spans="1:6" ht="23.25" customHeight="1">
      <c r="A4" s="494" t="s">
        <v>61</v>
      </c>
      <c r="B4" s="495"/>
      <c r="C4" s="495"/>
      <c r="D4" s="495"/>
      <c r="E4" s="495"/>
    </row>
    <row r="5" spans="1:6" ht="23.25" customHeight="1">
      <c r="A5" s="494" t="s">
        <v>559</v>
      </c>
      <c r="B5" s="494"/>
      <c r="C5" s="494"/>
      <c r="D5" s="494"/>
      <c r="E5" s="494"/>
    </row>
    <row r="6" spans="1:6" ht="18" hidden="1" customHeight="1">
      <c r="A6" s="497" t="e">
        <f>+'48_'!#REF!</f>
        <v>#REF!</v>
      </c>
      <c r="B6" s="497"/>
      <c r="C6" s="497"/>
      <c r="D6" s="497"/>
      <c r="E6" s="497"/>
    </row>
    <row r="7" spans="1:6" ht="23.25" customHeight="1">
      <c r="A7" s="498" t="str">
        <f>+'48_'!A5:E5</f>
        <v>(Kèm theo Nghị quyết số     /NQ-HĐND ngày     tháng    năm 2025 của 
Hội đồng nhân dân huyện Ia H'Drai)</v>
      </c>
      <c r="B7" s="498"/>
      <c r="C7" s="498"/>
      <c r="D7" s="498"/>
      <c r="E7" s="498"/>
    </row>
    <row r="8" spans="1:6" ht="23.25" hidden="1" customHeight="1">
      <c r="A8" s="497" t="e">
        <f>+'48_'!#REF!</f>
        <v>#REF!</v>
      </c>
      <c r="B8" s="497"/>
      <c r="C8" s="497"/>
      <c r="D8" s="497"/>
      <c r="E8" s="497"/>
    </row>
    <row r="9" spans="1:6" ht="12.75" customHeight="1">
      <c r="A9" s="453"/>
      <c r="B9" s="453"/>
      <c r="C9" s="453"/>
      <c r="D9" s="453"/>
      <c r="E9" s="453"/>
    </row>
    <row r="10" spans="1:6">
      <c r="E10" s="428" t="s">
        <v>106</v>
      </c>
    </row>
    <row r="11" spans="1:6" ht="26">
      <c r="A11" s="429" t="s">
        <v>7</v>
      </c>
      <c r="B11" s="430" t="s">
        <v>36</v>
      </c>
      <c r="C11" s="430" t="s">
        <v>28</v>
      </c>
      <c r="D11" s="431" t="s">
        <v>29</v>
      </c>
      <c r="E11" s="430" t="s">
        <v>21</v>
      </c>
    </row>
    <row r="12" spans="1:6" ht="14.25" customHeight="1">
      <c r="A12" s="454" t="s">
        <v>10</v>
      </c>
      <c r="B12" s="455" t="s">
        <v>0</v>
      </c>
      <c r="C12" s="456"/>
      <c r="D12" s="457"/>
      <c r="E12" s="457"/>
    </row>
    <row r="13" spans="1:6" ht="14.25" customHeight="1">
      <c r="A13" s="432" t="s">
        <v>8</v>
      </c>
      <c r="B13" s="433" t="s">
        <v>62</v>
      </c>
      <c r="C13" s="435">
        <f>C14+C17+C21+C22+C23+C24</f>
        <v>306993000000</v>
      </c>
      <c r="D13" s="435">
        <f>D14+D17+D21+D22+D23+D24</f>
        <v>468029967385</v>
      </c>
      <c r="E13" s="435">
        <f t="shared" ref="E13:E19" si="0">D13/C13*100</f>
        <v>152.45623430664543</v>
      </c>
      <c r="F13" s="449">
        <f>154799946-179754700</f>
        <v>-24954754</v>
      </c>
    </row>
    <row r="14" spans="1:6" ht="14.25" customHeight="1">
      <c r="A14" s="438">
        <v>1</v>
      </c>
      <c r="B14" s="439" t="s">
        <v>37</v>
      </c>
      <c r="C14" s="440">
        <f>SUM(C15:C16)</f>
        <v>40388000000</v>
      </c>
      <c r="D14" s="441">
        <f>SUM(D15:D16)</f>
        <v>55602979151</v>
      </c>
      <c r="E14" s="441">
        <f t="shared" si="0"/>
        <v>137.67202919431514</v>
      </c>
      <c r="F14" s="449">
        <f>149139286+11565630</f>
        <v>160704916</v>
      </c>
    </row>
    <row r="15" spans="1:6" ht="14.25" customHeight="1">
      <c r="A15" s="438"/>
      <c r="B15" s="443" t="s">
        <v>38</v>
      </c>
      <c r="C15" s="445">
        <f>40388000000-C16</f>
        <v>14189000000</v>
      </c>
      <c r="D15" s="445">
        <v>18607490923</v>
      </c>
      <c r="E15" s="441">
        <f t="shared" si="0"/>
        <v>131.14025599407992</v>
      </c>
      <c r="F15" s="458">
        <f>+C13/1000-F14</f>
        <v>146288084</v>
      </c>
    </row>
    <row r="16" spans="1:6" ht="28.5" customHeight="1">
      <c r="A16" s="438"/>
      <c r="B16" s="459" t="s">
        <v>39</v>
      </c>
      <c r="C16" s="445">
        <f>+'48_'!C12</f>
        <v>26199000000</v>
      </c>
      <c r="D16" s="445">
        <v>36995488228</v>
      </c>
      <c r="E16" s="441">
        <f t="shared" si="0"/>
        <v>141.20954321920684</v>
      </c>
    </row>
    <row r="17" spans="1:6" ht="14.25" customHeight="1">
      <c r="A17" s="438">
        <v>2</v>
      </c>
      <c r="B17" s="439" t="s">
        <v>1</v>
      </c>
      <c r="C17" s="440">
        <f>SUM(C18:C19)</f>
        <v>266605000000</v>
      </c>
      <c r="D17" s="441">
        <f>SUM(D18:D19)</f>
        <v>264168143363</v>
      </c>
      <c r="E17" s="441">
        <f t="shared" si="0"/>
        <v>99.085967391084182</v>
      </c>
    </row>
    <row r="18" spans="1:6" ht="14.25" customHeight="1">
      <c r="A18" s="438"/>
      <c r="B18" s="443" t="s">
        <v>41</v>
      </c>
      <c r="C18" s="445">
        <f>+'48_'!C14</f>
        <v>101233000000</v>
      </c>
      <c r="D18" s="444">
        <v>100757760900</v>
      </c>
      <c r="E18" s="441">
        <f t="shared" si="0"/>
        <v>99.530549228018529</v>
      </c>
      <c r="F18" s="436"/>
    </row>
    <row r="19" spans="1:6" ht="14.25" customHeight="1">
      <c r="A19" s="438"/>
      <c r="B19" s="443" t="s">
        <v>42</v>
      </c>
      <c r="C19" s="445">
        <f>+'48_'!C15</f>
        <v>165372000000</v>
      </c>
      <c r="D19" s="444">
        <v>163410382463</v>
      </c>
      <c r="E19" s="441">
        <f t="shared" si="0"/>
        <v>98.813815194228766</v>
      </c>
    </row>
    <row r="20" spans="1:6" ht="14.25" customHeight="1">
      <c r="A20" s="438"/>
      <c r="B20" s="443" t="s">
        <v>43</v>
      </c>
      <c r="C20" s="445">
        <f>+'48_'!C16</f>
        <v>0</v>
      </c>
      <c r="D20" s="440">
        <f>+C20</f>
        <v>0</v>
      </c>
      <c r="E20" s="441">
        <v>0</v>
      </c>
    </row>
    <row r="21" spans="1:6" ht="14.25" customHeight="1">
      <c r="A21" s="438">
        <v>3</v>
      </c>
      <c r="B21" s="439" t="s">
        <v>44</v>
      </c>
      <c r="C21" s="445"/>
      <c r="D21" s="440">
        <v>146597254154</v>
      </c>
      <c r="E21" s="441"/>
      <c r="F21" s="436"/>
    </row>
    <row r="22" spans="1:6" ht="14.25" customHeight="1">
      <c r="A22" s="438">
        <v>4</v>
      </c>
      <c r="B22" s="439" t="s">
        <v>336</v>
      </c>
      <c r="C22" s="445"/>
      <c r="D22" s="440"/>
      <c r="E22" s="441"/>
    </row>
    <row r="23" spans="1:6" ht="14.25" customHeight="1">
      <c r="A23" s="438">
        <v>5</v>
      </c>
      <c r="B23" s="439" t="s">
        <v>14</v>
      </c>
      <c r="C23" s="445"/>
      <c r="D23" s="440"/>
      <c r="E23" s="441"/>
    </row>
    <row r="24" spans="1:6" ht="14.25" customHeight="1">
      <c r="A24" s="438">
        <v>6</v>
      </c>
      <c r="B24" s="439" t="s">
        <v>46</v>
      </c>
      <c r="C24" s="445"/>
      <c r="D24" s="440">
        <v>1661590717</v>
      </c>
      <c r="E24" s="441"/>
    </row>
    <row r="25" spans="1:6" s="448" customFormat="1" ht="14.25" customHeight="1">
      <c r="A25" s="432" t="s">
        <v>9</v>
      </c>
      <c r="B25" s="433" t="s">
        <v>63</v>
      </c>
      <c r="C25" s="435">
        <f>C26+C27+C28+C29+C30+C31+C32</f>
        <v>306993000000</v>
      </c>
      <c r="D25" s="435">
        <f>D26+D27+D28+D29+D30+D31+D32</f>
        <v>466252236346</v>
      </c>
      <c r="E25" s="435">
        <f>D25/C25*100</f>
        <v>151.87715561788053</v>
      </c>
    </row>
    <row r="26" spans="1:6" ht="14.25" customHeight="1">
      <c r="A26" s="438">
        <v>1</v>
      </c>
      <c r="B26" s="439" t="s">
        <v>335</v>
      </c>
      <c r="C26" s="440">
        <f>94840000000+19804700000</f>
        <v>114644700000</v>
      </c>
      <c r="D26" s="440">
        <v>161147434261</v>
      </c>
      <c r="E26" s="441">
        <f>D26/C26*100</f>
        <v>140.5624806563234</v>
      </c>
    </row>
    <row r="27" spans="1:6" ht="14.25" customHeight="1">
      <c r="A27" s="438">
        <v>2</v>
      </c>
      <c r="B27" s="439" t="s">
        <v>34</v>
      </c>
      <c r="C27" s="440">
        <f>6234000000+116728648000</f>
        <v>122962648000</v>
      </c>
      <c r="D27" s="440">
        <v>121208744080</v>
      </c>
      <c r="E27" s="441">
        <f>D27/C27*100</f>
        <v>98.573628700644122</v>
      </c>
    </row>
    <row r="28" spans="1:6" ht="14.25" customHeight="1">
      <c r="A28" s="438">
        <v>3</v>
      </c>
      <c r="B28" s="439" t="s">
        <v>6</v>
      </c>
      <c r="C28" s="440">
        <v>2307300000</v>
      </c>
      <c r="D28" s="440"/>
      <c r="E28" s="441">
        <f>D28/C28*100</f>
        <v>0</v>
      </c>
    </row>
    <row r="29" spans="1:6" ht="14.25" customHeight="1">
      <c r="A29" s="438">
        <v>4</v>
      </c>
      <c r="B29" s="439" t="s">
        <v>47</v>
      </c>
      <c r="C29" s="440"/>
      <c r="D29" s="440">
        <v>115679516727</v>
      </c>
      <c r="E29" s="441"/>
      <c r="F29" s="437">
        <f>+C34+C13-C30</f>
        <v>307752000000</v>
      </c>
    </row>
    <row r="30" spans="1:6" ht="14.25" customHeight="1">
      <c r="A30" s="438">
        <v>5</v>
      </c>
      <c r="B30" s="439" t="s">
        <v>48</v>
      </c>
      <c r="C30" s="440">
        <v>67078352000</v>
      </c>
      <c r="D30" s="440">
        <v>68036827000</v>
      </c>
      <c r="E30" s="441">
        <f>D30/C30*100</f>
        <v>101.42888871211386</v>
      </c>
    </row>
    <row r="31" spans="1:6" ht="28.5" customHeight="1">
      <c r="A31" s="460">
        <v>6</v>
      </c>
      <c r="B31" s="461" t="s">
        <v>337</v>
      </c>
      <c r="C31" s="440"/>
      <c r="D31" s="440"/>
      <c r="E31" s="441"/>
      <c r="F31" s="446"/>
    </row>
    <row r="32" spans="1:6" ht="14.25" customHeight="1">
      <c r="A32" s="450">
        <v>7</v>
      </c>
      <c r="B32" s="451" t="s">
        <v>54</v>
      </c>
      <c r="C32" s="452"/>
      <c r="D32" s="452">
        <v>179714278</v>
      </c>
      <c r="E32" s="441"/>
    </row>
    <row r="33" spans="1:6" ht="14.25" customHeight="1">
      <c r="A33" s="432" t="s">
        <v>11</v>
      </c>
      <c r="B33" s="433" t="s">
        <v>334</v>
      </c>
      <c r="C33" s="434"/>
      <c r="D33" s="434"/>
      <c r="E33" s="441"/>
      <c r="F33" s="437"/>
    </row>
    <row r="34" spans="1:6" ht="14.25" customHeight="1">
      <c r="A34" s="432" t="s">
        <v>8</v>
      </c>
      <c r="B34" s="433" t="s">
        <v>62</v>
      </c>
      <c r="C34" s="434">
        <f>C35+C38+C42+C43+C44</f>
        <v>67837352000</v>
      </c>
      <c r="D34" s="435">
        <f>D35+D38+D42+D43+D44</f>
        <v>106996500961</v>
      </c>
      <c r="E34" s="435">
        <f t="shared" ref="E34:E40" si="1">D34/C34*100</f>
        <v>157.72505530728853</v>
      </c>
    </row>
    <row r="35" spans="1:6" ht="14.25" customHeight="1">
      <c r="A35" s="438">
        <v>1</v>
      </c>
      <c r="B35" s="439" t="s">
        <v>2</v>
      </c>
      <c r="C35" s="440">
        <f>SUM(C36:C37)</f>
        <v>759000000</v>
      </c>
      <c r="D35" s="440">
        <f>SUM(D36:D37)</f>
        <v>1192103094</v>
      </c>
      <c r="E35" s="441">
        <f t="shared" si="1"/>
        <v>157.06233122529645</v>
      </c>
    </row>
    <row r="36" spans="1:6" ht="14.25" customHeight="1">
      <c r="A36" s="438"/>
      <c r="B36" s="439" t="s">
        <v>3</v>
      </c>
      <c r="C36" s="445">
        <f>+'48_'!C11-'49_'!C15</f>
        <v>759000000</v>
      </c>
      <c r="D36" s="444">
        <v>1192103094</v>
      </c>
      <c r="E36" s="441">
        <f t="shared" si="1"/>
        <v>157.06233122529645</v>
      </c>
    </row>
    <row r="37" spans="1:6" ht="28.5" customHeight="1">
      <c r="A37" s="438"/>
      <c r="B37" s="461" t="s">
        <v>4</v>
      </c>
      <c r="C37" s="445"/>
      <c r="D37" s="444"/>
      <c r="E37" s="441"/>
    </row>
    <row r="38" spans="1:6" ht="14.25" customHeight="1">
      <c r="A38" s="438">
        <v>2</v>
      </c>
      <c r="B38" s="439" t="s">
        <v>40</v>
      </c>
      <c r="C38" s="440">
        <f>SUM(C39:C40)</f>
        <v>67078352000</v>
      </c>
      <c r="D38" s="441">
        <f>SUM(D39:D40)</f>
        <v>68036827000</v>
      </c>
      <c r="E38" s="441">
        <f t="shared" si="1"/>
        <v>101.42888871211386</v>
      </c>
    </row>
    <row r="39" spans="1:6" ht="14.25" customHeight="1">
      <c r="A39" s="438"/>
      <c r="B39" s="439" t="s">
        <v>41</v>
      </c>
      <c r="C39" s="440">
        <v>26529352000</v>
      </c>
      <c r="D39" s="441">
        <v>26303352000</v>
      </c>
      <c r="E39" s="441">
        <f t="shared" si="1"/>
        <v>99.148113380228807</v>
      </c>
    </row>
    <row r="40" spans="1:6" ht="14.25" customHeight="1">
      <c r="A40" s="438"/>
      <c r="B40" s="439" t="s">
        <v>42</v>
      </c>
      <c r="C40" s="440">
        <v>40549000000</v>
      </c>
      <c r="D40" s="441">
        <v>41733475000</v>
      </c>
      <c r="E40" s="441">
        <f t="shared" si="1"/>
        <v>102.92109546474634</v>
      </c>
    </row>
    <row r="41" spans="1:6" ht="14.25" customHeight="1">
      <c r="A41" s="438"/>
      <c r="B41" s="439" t="s">
        <v>43</v>
      </c>
      <c r="C41" s="440"/>
      <c r="D41" s="440">
        <f>+C41</f>
        <v>0</v>
      </c>
      <c r="E41" s="441"/>
    </row>
    <row r="42" spans="1:6" ht="14.25" customHeight="1">
      <c r="A42" s="438">
        <v>3</v>
      </c>
      <c r="B42" s="439" t="s">
        <v>44</v>
      </c>
      <c r="C42" s="440"/>
      <c r="D42" s="440">
        <v>37477993916</v>
      </c>
      <c r="E42" s="441"/>
    </row>
    <row r="43" spans="1:6" ht="28.5" customHeight="1">
      <c r="A43" s="450">
        <v>4</v>
      </c>
      <c r="B43" s="461" t="s">
        <v>49</v>
      </c>
      <c r="C43" s="452"/>
      <c r="D43" s="440"/>
      <c r="E43" s="441"/>
    </row>
    <row r="44" spans="1:6" ht="14.25" customHeight="1">
      <c r="A44" s="462">
        <v>5</v>
      </c>
      <c r="B44" s="463" t="s">
        <v>46</v>
      </c>
      <c r="C44" s="452"/>
      <c r="D44" s="440">
        <v>289576951</v>
      </c>
      <c r="E44" s="442"/>
    </row>
    <row r="45" spans="1:6" s="448" customFormat="1" ht="14.25" customHeight="1">
      <c r="A45" s="464" t="s">
        <v>9</v>
      </c>
      <c r="B45" s="465" t="s">
        <v>64</v>
      </c>
      <c r="C45" s="466">
        <f>C34</f>
        <v>67837352000</v>
      </c>
      <c r="D45" s="467">
        <v>106289102230</v>
      </c>
      <c r="E45" s="468">
        <f>D45/C45*100</f>
        <v>156.68226883325281</v>
      </c>
      <c r="F45" s="447"/>
    </row>
    <row r="46" spans="1:6" ht="28.5" customHeight="1">
      <c r="C46" s="494"/>
      <c r="D46" s="495"/>
      <c r="E46" s="495"/>
    </row>
  </sheetData>
  <mergeCells count="10">
    <mergeCell ref="A1:B1"/>
    <mergeCell ref="D1:E1"/>
    <mergeCell ref="A2:B2"/>
    <mergeCell ref="A4:E4"/>
    <mergeCell ref="C46:E46"/>
    <mergeCell ref="D2:E2"/>
    <mergeCell ref="A5:E5"/>
    <mergeCell ref="A6:E6"/>
    <mergeCell ref="A7:E7"/>
    <mergeCell ref="A8:E8"/>
  </mergeCells>
  <pageMargins left="0.7" right="0.7" top="0.75" bottom="0.75" header="0.3" footer="0.3"/>
  <pageSetup paperSize="9" scale="9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138"/>
  <sheetViews>
    <sheetView view="pageBreakPreview" zoomScale="60" zoomScaleNormal="70" workbookViewId="0">
      <pane xSplit="2" ySplit="7" topLeftCell="C8" activePane="bottomRight" state="frozen"/>
      <selection pane="topRight" activeCell="C1" sqref="C1"/>
      <selection pane="bottomLeft" activeCell="A8" sqref="A8"/>
      <selection pane="bottomRight" activeCell="D16" sqref="D16"/>
    </sheetView>
  </sheetViews>
  <sheetFormatPr defaultColWidth="9.1796875" defaultRowHeight="13"/>
  <cols>
    <col min="1" max="1" width="5.453125" style="685" customWidth="1"/>
    <col min="2" max="2" width="31.26953125" style="685" customWidth="1"/>
    <col min="3" max="3" width="17.81640625" style="686" customWidth="1"/>
    <col min="4" max="4" width="18.26953125" style="686" customWidth="1"/>
    <col min="5" max="5" width="18.1796875" style="686" customWidth="1"/>
    <col min="6" max="6" width="15.54296875" style="686" customWidth="1"/>
    <col min="7" max="7" width="17.26953125" style="686" customWidth="1"/>
    <col min="8" max="8" width="17.453125" style="686" customWidth="1"/>
    <col min="9" max="9" width="18.1796875" style="686" customWidth="1"/>
    <col min="10" max="10" width="9" style="686" customWidth="1"/>
    <col min="11" max="11" width="9.81640625" style="685" customWidth="1"/>
    <col min="12" max="12" width="19.54296875" style="685" hidden="1" customWidth="1"/>
    <col min="13" max="27" width="0" style="685" hidden="1" customWidth="1"/>
    <col min="28" max="28" width="16.1796875" style="688" bestFit="1" customWidth="1"/>
    <col min="29" max="36" width="9.1796875" style="688"/>
    <col min="37" max="16384" width="9.1796875" style="685"/>
  </cols>
  <sheetData>
    <row r="1" spans="1:36">
      <c r="A1" s="684"/>
      <c r="J1" s="687" t="s">
        <v>246</v>
      </c>
    </row>
    <row r="2" spans="1:36">
      <c r="A2" s="684"/>
      <c r="I2" s="687"/>
      <c r="AB2" s="689">
        <f>56795082245-H54-I54-H53</f>
        <v>48479446468</v>
      </c>
    </row>
    <row r="3" spans="1:36">
      <c r="A3" s="690" t="s">
        <v>560</v>
      </c>
      <c r="B3" s="690"/>
      <c r="C3" s="690"/>
      <c r="D3" s="690"/>
      <c r="E3" s="690"/>
      <c r="F3" s="690"/>
      <c r="G3" s="690"/>
      <c r="H3" s="690"/>
      <c r="I3" s="690"/>
      <c r="J3" s="690"/>
      <c r="K3" s="690"/>
    </row>
    <row r="4" spans="1:36">
      <c r="A4" s="691" t="str">
        <f>+'49_'!A7:E7</f>
        <v>(Kèm theo Nghị quyết số     /NQ-HĐND ngày     tháng    năm 2025 của 
Hội đồng nhân dân huyện Ia H'Drai)</v>
      </c>
      <c r="B4" s="691"/>
      <c r="C4" s="691"/>
      <c r="D4" s="691"/>
      <c r="E4" s="691"/>
      <c r="F4" s="691"/>
      <c r="G4" s="691"/>
      <c r="H4" s="691"/>
      <c r="I4" s="691"/>
      <c r="J4" s="691"/>
      <c r="K4" s="691"/>
    </row>
    <row r="5" spans="1:36">
      <c r="K5" s="692" t="s">
        <v>122</v>
      </c>
      <c r="L5" s="693">
        <f>11408499254-G9</f>
        <v>-48903169241</v>
      </c>
    </row>
    <row r="6" spans="1:36" ht="30.75" customHeight="1">
      <c r="A6" s="694" t="s">
        <v>7</v>
      </c>
      <c r="B6" s="694" t="s">
        <v>36</v>
      </c>
      <c r="C6" s="695" t="s">
        <v>126</v>
      </c>
      <c r="D6" s="695"/>
      <c r="E6" s="695" t="s">
        <v>127</v>
      </c>
      <c r="F6" s="695" t="s">
        <v>128</v>
      </c>
      <c r="G6" s="695"/>
      <c r="H6" s="695"/>
      <c r="I6" s="695"/>
      <c r="J6" s="694" t="s">
        <v>21</v>
      </c>
      <c r="K6" s="694"/>
    </row>
    <row r="7" spans="1:36" ht="52.5" customHeight="1">
      <c r="A7" s="694"/>
      <c r="B7" s="694"/>
      <c r="C7" s="696" t="s">
        <v>129</v>
      </c>
      <c r="D7" s="696" t="s">
        <v>130</v>
      </c>
      <c r="E7" s="695"/>
      <c r="F7" s="696" t="s">
        <v>131</v>
      </c>
      <c r="G7" s="696" t="s">
        <v>132</v>
      </c>
      <c r="H7" s="696" t="s">
        <v>133</v>
      </c>
      <c r="I7" s="696" t="s">
        <v>134</v>
      </c>
      <c r="J7" s="696" t="s">
        <v>129</v>
      </c>
      <c r="K7" s="697" t="s">
        <v>130</v>
      </c>
    </row>
    <row r="8" spans="1:36" s="701" customFormat="1" ht="26">
      <c r="A8" s="698" t="s">
        <v>10</v>
      </c>
      <c r="B8" s="698" t="s">
        <v>11</v>
      </c>
      <c r="C8" s="699">
        <v>1</v>
      </c>
      <c r="D8" s="699">
        <v>2</v>
      </c>
      <c r="E8" s="699" t="s">
        <v>135</v>
      </c>
      <c r="F8" s="699">
        <v>4</v>
      </c>
      <c r="G8" s="699">
        <v>5</v>
      </c>
      <c r="H8" s="699">
        <v>6</v>
      </c>
      <c r="I8" s="699">
        <v>7</v>
      </c>
      <c r="J8" s="699" t="s">
        <v>136</v>
      </c>
      <c r="K8" s="698" t="s">
        <v>137</v>
      </c>
      <c r="L8" s="700"/>
      <c r="AB8" s="702"/>
      <c r="AC8" s="702"/>
      <c r="AD8" s="702"/>
      <c r="AE8" s="702"/>
      <c r="AF8" s="702"/>
      <c r="AG8" s="702"/>
      <c r="AH8" s="702"/>
      <c r="AI8" s="702"/>
      <c r="AJ8" s="702"/>
    </row>
    <row r="9" spans="1:36" s="705" customFormat="1">
      <c r="A9" s="703"/>
      <c r="B9" s="703" t="s">
        <v>338</v>
      </c>
      <c r="C9" s="704">
        <v>356305000000</v>
      </c>
      <c r="D9" s="704">
        <v>356605000000</v>
      </c>
      <c r="E9" s="704">
        <v>636567698181</v>
      </c>
      <c r="F9" s="704">
        <v>1229561340</v>
      </c>
      <c r="G9" s="704">
        <v>60311668495</v>
      </c>
      <c r="H9" s="704">
        <v>468029967385</v>
      </c>
      <c r="I9" s="704">
        <v>106996500961</v>
      </c>
      <c r="J9" s="704">
        <f>+E9/C9%</f>
        <v>178.65808736363508</v>
      </c>
      <c r="K9" s="704">
        <f>+E9/D9%</f>
        <v>178.50778821973893</v>
      </c>
      <c r="AB9" s="706"/>
      <c r="AC9" s="706"/>
      <c r="AD9" s="706"/>
      <c r="AE9" s="706"/>
      <c r="AF9" s="706"/>
      <c r="AG9" s="706"/>
      <c r="AH9" s="706"/>
      <c r="AI9" s="706"/>
      <c r="AJ9" s="706"/>
    </row>
    <row r="10" spans="1:36" s="705" customFormat="1">
      <c r="A10" s="707" t="s">
        <v>10</v>
      </c>
      <c r="B10" s="708" t="s">
        <v>138</v>
      </c>
      <c r="C10" s="709">
        <v>89700000000</v>
      </c>
      <c r="D10" s="709">
        <v>90000000000</v>
      </c>
      <c r="E10" s="709">
        <v>118156597802</v>
      </c>
      <c r="F10" s="709">
        <v>1229561340</v>
      </c>
      <c r="G10" s="709">
        <v>60131954217</v>
      </c>
      <c r="H10" s="709">
        <v>55602979151</v>
      </c>
      <c r="I10" s="709">
        <v>1192103094</v>
      </c>
      <c r="J10" s="709">
        <f>+E10/C10%</f>
        <v>131.72418929988851</v>
      </c>
      <c r="K10" s="709">
        <f>+E10/D10%</f>
        <v>131.28510866888888</v>
      </c>
      <c r="AB10" s="706"/>
      <c r="AC10" s="706"/>
      <c r="AD10" s="706"/>
      <c r="AE10" s="706"/>
      <c r="AF10" s="706"/>
      <c r="AG10" s="706"/>
      <c r="AH10" s="706"/>
      <c r="AI10" s="706"/>
      <c r="AJ10" s="706"/>
    </row>
    <row r="11" spans="1:36" s="705" customFormat="1" ht="27" customHeight="1">
      <c r="A11" s="707">
        <v>1</v>
      </c>
      <c r="B11" s="708" t="s">
        <v>139</v>
      </c>
      <c r="C11" s="709">
        <v>19500000000</v>
      </c>
      <c r="D11" s="709">
        <v>19500000000</v>
      </c>
      <c r="E11" s="709">
        <v>24408480306</v>
      </c>
      <c r="F11" s="709">
        <v>0</v>
      </c>
      <c r="G11" s="709">
        <v>20747208250.000004</v>
      </c>
      <c r="H11" s="709">
        <v>3661272056.0000005</v>
      </c>
      <c r="I11" s="709">
        <v>0</v>
      </c>
      <c r="J11" s="709"/>
      <c r="K11" s="709"/>
      <c r="AB11" s="710">
        <f>+E11+E19</f>
        <v>57984706016</v>
      </c>
      <c r="AC11" s="706"/>
      <c r="AD11" s="706"/>
      <c r="AE11" s="706"/>
      <c r="AF11" s="706"/>
      <c r="AG11" s="706"/>
      <c r="AH11" s="706"/>
      <c r="AI11" s="706"/>
      <c r="AJ11" s="706"/>
    </row>
    <row r="12" spans="1:36">
      <c r="A12" s="711"/>
      <c r="B12" s="712" t="s">
        <v>140</v>
      </c>
      <c r="C12" s="713">
        <v>19500000000</v>
      </c>
      <c r="D12" s="713">
        <v>19500000000</v>
      </c>
      <c r="E12" s="713">
        <v>24408118796</v>
      </c>
      <c r="F12" s="713">
        <v>0</v>
      </c>
      <c r="G12" s="713">
        <v>20746900967</v>
      </c>
      <c r="H12" s="713">
        <v>3661217829</v>
      </c>
      <c r="I12" s="713">
        <v>0</v>
      </c>
      <c r="J12" s="713"/>
      <c r="K12" s="713"/>
      <c r="L12" s="685">
        <f>+E12/1000000</f>
        <v>24408.118795999999</v>
      </c>
    </row>
    <row r="13" spans="1:36" ht="26">
      <c r="A13" s="711"/>
      <c r="B13" s="714" t="s">
        <v>141</v>
      </c>
      <c r="C13" s="713"/>
      <c r="D13" s="713"/>
      <c r="E13" s="713">
        <v>0</v>
      </c>
      <c r="F13" s="713">
        <v>0</v>
      </c>
      <c r="G13" s="713">
        <v>0</v>
      </c>
      <c r="H13" s="713">
        <v>0</v>
      </c>
      <c r="I13" s="713">
        <v>0</v>
      </c>
      <c r="J13" s="713"/>
      <c r="K13" s="713"/>
      <c r="L13" s="685">
        <f>+H12/1000000</f>
        <v>3661.2178290000002</v>
      </c>
    </row>
    <row r="14" spans="1:36">
      <c r="A14" s="711"/>
      <c r="B14" s="712" t="s">
        <v>142</v>
      </c>
      <c r="C14" s="713"/>
      <c r="D14" s="713"/>
      <c r="E14" s="713">
        <v>361508</v>
      </c>
      <c r="F14" s="713">
        <v>0</v>
      </c>
      <c r="G14" s="713">
        <v>307281</v>
      </c>
      <c r="H14" s="713">
        <v>54227</v>
      </c>
      <c r="I14" s="713">
        <v>0</v>
      </c>
      <c r="J14" s="713"/>
      <c r="K14" s="713"/>
    </row>
    <row r="15" spans="1:36">
      <c r="A15" s="711"/>
      <c r="B15" s="712" t="s">
        <v>143</v>
      </c>
      <c r="C15" s="713"/>
      <c r="D15" s="713"/>
      <c r="E15" s="713">
        <v>0</v>
      </c>
      <c r="F15" s="713">
        <v>0</v>
      </c>
      <c r="G15" s="713">
        <v>0</v>
      </c>
      <c r="H15" s="713">
        <v>0</v>
      </c>
      <c r="I15" s="713">
        <v>0</v>
      </c>
      <c r="J15" s="713"/>
      <c r="K15" s="713"/>
    </row>
    <row r="16" spans="1:36" ht="26">
      <c r="A16" s="711"/>
      <c r="B16" s="714" t="s">
        <v>144</v>
      </c>
      <c r="C16" s="713"/>
      <c r="D16" s="713"/>
      <c r="E16" s="713">
        <v>0</v>
      </c>
      <c r="F16" s="713">
        <v>0</v>
      </c>
      <c r="G16" s="713">
        <v>0</v>
      </c>
      <c r="H16" s="713">
        <v>0</v>
      </c>
      <c r="I16" s="713">
        <v>0</v>
      </c>
      <c r="J16" s="713"/>
      <c r="K16" s="713"/>
    </row>
    <row r="17" spans="1:36">
      <c r="A17" s="711"/>
      <c r="B17" s="712" t="s">
        <v>194</v>
      </c>
      <c r="C17" s="713"/>
      <c r="D17" s="713"/>
      <c r="E17" s="713">
        <v>2</v>
      </c>
      <c r="F17" s="713">
        <v>0</v>
      </c>
      <c r="G17" s="713">
        <v>2</v>
      </c>
      <c r="H17" s="713">
        <v>0</v>
      </c>
      <c r="I17" s="713">
        <v>0</v>
      </c>
      <c r="J17" s="713"/>
      <c r="K17" s="713"/>
    </row>
    <row r="18" spans="1:36">
      <c r="A18" s="711"/>
      <c r="B18" s="714" t="s">
        <v>146</v>
      </c>
      <c r="C18" s="713"/>
      <c r="D18" s="713"/>
      <c r="E18" s="713">
        <v>0</v>
      </c>
      <c r="F18" s="713">
        <v>0</v>
      </c>
      <c r="G18" s="713">
        <v>0</v>
      </c>
      <c r="H18" s="713">
        <v>0</v>
      </c>
      <c r="I18" s="713">
        <v>0</v>
      </c>
      <c r="J18" s="713"/>
      <c r="K18" s="713"/>
    </row>
    <row r="19" spans="1:36" s="705" customFormat="1" ht="26">
      <c r="A19" s="707">
        <v>2</v>
      </c>
      <c r="B19" s="708" t="s">
        <v>147</v>
      </c>
      <c r="C19" s="709">
        <v>20800000000</v>
      </c>
      <c r="D19" s="709">
        <v>20800000000</v>
      </c>
      <c r="E19" s="709">
        <v>33576225710</v>
      </c>
      <c r="F19" s="709">
        <v>0</v>
      </c>
      <c r="G19" s="709">
        <v>28541026801</v>
      </c>
      <c r="H19" s="709">
        <v>5035198909.000001</v>
      </c>
      <c r="I19" s="709">
        <v>0</v>
      </c>
      <c r="J19" s="709">
        <f>+E19/C19%</f>
        <v>161.42416206730769</v>
      </c>
      <c r="K19" s="709">
        <f>+E19/D19%</f>
        <v>161.42416206730769</v>
      </c>
      <c r="AB19" s="706"/>
      <c r="AC19" s="706"/>
      <c r="AD19" s="706"/>
      <c r="AE19" s="706"/>
      <c r="AF19" s="706"/>
      <c r="AG19" s="706"/>
      <c r="AH19" s="706"/>
      <c r="AI19" s="706"/>
      <c r="AJ19" s="706"/>
    </row>
    <row r="20" spans="1:36">
      <c r="A20" s="711"/>
      <c r="B20" s="712" t="s">
        <v>140</v>
      </c>
      <c r="C20" s="713">
        <v>19870000000</v>
      </c>
      <c r="D20" s="713">
        <v>19870000000</v>
      </c>
      <c r="E20" s="713">
        <v>27070602555</v>
      </c>
      <c r="F20" s="713">
        <v>0</v>
      </c>
      <c r="G20" s="713">
        <v>23004269110</v>
      </c>
      <c r="H20" s="713">
        <v>4066333445</v>
      </c>
      <c r="I20" s="713">
        <v>0</v>
      </c>
      <c r="J20" s="709">
        <f>+E20/C20%</f>
        <v>136.23856343734272</v>
      </c>
      <c r="K20" s="709">
        <f>+E20/D20%</f>
        <v>136.23856343734272</v>
      </c>
      <c r="L20" s="693">
        <f>+H20/E20%</f>
        <v>15.021215123447405</v>
      </c>
    </row>
    <row r="21" spans="1:36">
      <c r="A21" s="711"/>
      <c r="B21" s="712" t="s">
        <v>142</v>
      </c>
      <c r="C21" s="713">
        <v>850000000</v>
      </c>
      <c r="D21" s="713">
        <v>850000000</v>
      </c>
      <c r="E21" s="713">
        <v>6458922741</v>
      </c>
      <c r="F21" s="713">
        <v>0</v>
      </c>
      <c r="G21" s="713">
        <v>5490084325</v>
      </c>
      <c r="H21" s="713">
        <v>968838416</v>
      </c>
      <c r="I21" s="713">
        <v>0</v>
      </c>
      <c r="J21" s="709">
        <f>+E21/C21%</f>
        <v>759.87326364705882</v>
      </c>
      <c r="K21" s="709">
        <f>+E21/D21%</f>
        <v>759.87326364705882</v>
      </c>
      <c r="L21" s="715">
        <f>+G20/E20%</f>
        <v>84.978784876552595</v>
      </c>
    </row>
    <row r="22" spans="1:36">
      <c r="A22" s="711"/>
      <c r="B22" s="712" t="s">
        <v>143</v>
      </c>
      <c r="C22" s="713">
        <v>0</v>
      </c>
      <c r="D22" s="713">
        <v>0</v>
      </c>
      <c r="E22" s="713">
        <v>0</v>
      </c>
      <c r="F22" s="713">
        <v>0</v>
      </c>
      <c r="G22" s="713">
        <v>0</v>
      </c>
      <c r="H22" s="713">
        <v>0</v>
      </c>
      <c r="I22" s="713">
        <v>0</v>
      </c>
      <c r="J22" s="709"/>
      <c r="K22" s="709"/>
    </row>
    <row r="23" spans="1:36" ht="26">
      <c r="A23" s="711"/>
      <c r="B23" s="714" t="s">
        <v>144</v>
      </c>
      <c r="C23" s="713">
        <v>0</v>
      </c>
      <c r="D23" s="713">
        <v>0</v>
      </c>
      <c r="E23" s="713">
        <v>0</v>
      </c>
      <c r="F23" s="713">
        <v>0</v>
      </c>
      <c r="G23" s="713">
        <v>0</v>
      </c>
      <c r="H23" s="713">
        <v>0</v>
      </c>
      <c r="I23" s="713">
        <v>0</v>
      </c>
      <c r="J23" s="709"/>
      <c r="K23" s="709"/>
    </row>
    <row r="24" spans="1:36">
      <c r="A24" s="711"/>
      <c r="B24" s="712" t="s">
        <v>148</v>
      </c>
      <c r="C24" s="713">
        <v>80000000</v>
      </c>
      <c r="D24" s="713">
        <v>80000000</v>
      </c>
      <c r="E24" s="713">
        <v>46700414</v>
      </c>
      <c r="F24" s="713">
        <v>0</v>
      </c>
      <c r="G24" s="713">
        <v>46673366</v>
      </c>
      <c r="H24" s="713">
        <v>27048</v>
      </c>
      <c r="I24" s="713">
        <v>0</v>
      </c>
      <c r="J24" s="709">
        <f>+E24/C24%</f>
        <v>58.375517500000001</v>
      </c>
      <c r="K24" s="709">
        <f>+E24/D24%</f>
        <v>58.375517500000001</v>
      </c>
    </row>
    <row r="25" spans="1:36" ht="26">
      <c r="A25" s="707">
        <v>3</v>
      </c>
      <c r="B25" s="708" t="s">
        <v>149</v>
      </c>
      <c r="C25" s="713"/>
      <c r="D25" s="713"/>
      <c r="E25" s="709">
        <v>14400000</v>
      </c>
      <c r="F25" s="713">
        <v>0</v>
      </c>
      <c r="G25" s="713">
        <v>12239999.000000002</v>
      </c>
      <c r="H25" s="713">
        <v>2160001.0000000005</v>
      </c>
      <c r="I25" s="713">
        <v>0</v>
      </c>
      <c r="J25" s="713"/>
      <c r="K25" s="713"/>
    </row>
    <row r="26" spans="1:36">
      <c r="A26" s="711"/>
      <c r="B26" s="712" t="s">
        <v>140</v>
      </c>
      <c r="C26" s="713"/>
      <c r="D26" s="713"/>
      <c r="E26" s="713">
        <v>13184531</v>
      </c>
      <c r="F26" s="713">
        <v>0</v>
      </c>
      <c r="G26" s="713">
        <v>11206851</v>
      </c>
      <c r="H26" s="713">
        <v>1977680</v>
      </c>
      <c r="I26" s="713">
        <v>0</v>
      </c>
      <c r="J26" s="713"/>
      <c r="K26" s="713"/>
    </row>
    <row r="27" spans="1:36" ht="26">
      <c r="A27" s="711"/>
      <c r="B27" s="714" t="s">
        <v>150</v>
      </c>
      <c r="C27" s="713"/>
      <c r="D27" s="713"/>
      <c r="E27" s="713">
        <v>0</v>
      </c>
      <c r="F27" s="713">
        <v>0</v>
      </c>
      <c r="G27" s="713">
        <v>0</v>
      </c>
      <c r="H27" s="713">
        <v>0</v>
      </c>
      <c r="I27" s="713">
        <v>0</v>
      </c>
      <c r="J27" s="713"/>
      <c r="K27" s="713"/>
    </row>
    <row r="28" spans="1:36">
      <c r="A28" s="711"/>
      <c r="B28" s="712" t="s">
        <v>142</v>
      </c>
      <c r="C28" s="713"/>
      <c r="D28" s="713"/>
      <c r="E28" s="713">
        <v>1215469</v>
      </c>
      <c r="F28" s="713">
        <v>0</v>
      </c>
      <c r="G28" s="713">
        <v>1033148</v>
      </c>
      <c r="H28" s="713">
        <v>182321</v>
      </c>
      <c r="I28" s="713">
        <v>0</v>
      </c>
      <c r="J28" s="713"/>
      <c r="K28" s="713"/>
    </row>
    <row r="29" spans="1:36" ht="26">
      <c r="A29" s="711"/>
      <c r="B29" s="714" t="s">
        <v>151</v>
      </c>
      <c r="C29" s="713"/>
      <c r="D29" s="713"/>
      <c r="E29" s="713">
        <v>0</v>
      </c>
      <c r="F29" s="713">
        <v>0</v>
      </c>
      <c r="G29" s="713">
        <v>0</v>
      </c>
      <c r="H29" s="713">
        <v>0</v>
      </c>
      <c r="I29" s="713">
        <v>0</v>
      </c>
      <c r="J29" s="713"/>
      <c r="K29" s="713"/>
    </row>
    <row r="30" spans="1:36">
      <c r="A30" s="711"/>
      <c r="B30" s="712" t="s">
        <v>152</v>
      </c>
      <c r="C30" s="713"/>
      <c r="D30" s="713"/>
      <c r="E30" s="713">
        <v>0</v>
      </c>
      <c r="F30" s="713">
        <v>0</v>
      </c>
      <c r="G30" s="713">
        <v>0</v>
      </c>
      <c r="H30" s="713">
        <v>0</v>
      </c>
      <c r="I30" s="713">
        <v>0</v>
      </c>
      <c r="J30" s="713"/>
      <c r="K30" s="713"/>
    </row>
    <row r="31" spans="1:36">
      <c r="A31" s="711"/>
      <c r="B31" s="712" t="s">
        <v>143</v>
      </c>
      <c r="C31" s="713"/>
      <c r="D31" s="713"/>
      <c r="E31" s="713">
        <v>0</v>
      </c>
      <c r="F31" s="713">
        <v>0</v>
      </c>
      <c r="G31" s="713">
        <v>0</v>
      </c>
      <c r="H31" s="713">
        <v>0</v>
      </c>
      <c r="I31" s="713">
        <v>0</v>
      </c>
      <c r="J31" s="713"/>
      <c r="K31" s="713"/>
    </row>
    <row r="32" spans="1:36" ht="26">
      <c r="A32" s="711"/>
      <c r="B32" s="714" t="s">
        <v>153</v>
      </c>
      <c r="C32" s="713"/>
      <c r="D32" s="713"/>
      <c r="E32" s="713">
        <v>0</v>
      </c>
      <c r="F32" s="713">
        <v>0</v>
      </c>
      <c r="G32" s="713">
        <v>0</v>
      </c>
      <c r="H32" s="713">
        <v>0</v>
      </c>
      <c r="I32" s="713">
        <v>0</v>
      </c>
      <c r="J32" s="713"/>
      <c r="K32" s="713"/>
    </row>
    <row r="33" spans="1:36">
      <c r="A33" s="711"/>
      <c r="B33" s="712" t="s">
        <v>148</v>
      </c>
      <c r="C33" s="713"/>
      <c r="D33" s="713"/>
      <c r="E33" s="713">
        <v>0</v>
      </c>
      <c r="F33" s="713">
        <v>0</v>
      </c>
      <c r="G33" s="713">
        <v>0</v>
      </c>
      <c r="H33" s="713">
        <v>0</v>
      </c>
      <c r="I33" s="713">
        <v>0</v>
      </c>
      <c r="J33" s="713"/>
      <c r="K33" s="713"/>
    </row>
    <row r="34" spans="1:36">
      <c r="A34" s="711"/>
      <c r="B34" s="714" t="s">
        <v>146</v>
      </c>
      <c r="C34" s="713"/>
      <c r="D34" s="713"/>
      <c r="E34" s="713">
        <v>0</v>
      </c>
      <c r="F34" s="713">
        <v>0</v>
      </c>
      <c r="G34" s="713">
        <v>0</v>
      </c>
      <c r="H34" s="713">
        <v>0</v>
      </c>
      <c r="I34" s="713">
        <v>0</v>
      </c>
      <c r="J34" s="713"/>
      <c r="K34" s="713"/>
    </row>
    <row r="35" spans="1:36">
      <c r="A35" s="711"/>
      <c r="B35" s="712" t="s">
        <v>154</v>
      </c>
      <c r="C35" s="713"/>
      <c r="D35" s="713"/>
      <c r="E35" s="713">
        <v>0</v>
      </c>
      <c r="F35" s="713">
        <v>0</v>
      </c>
      <c r="G35" s="713">
        <v>0</v>
      </c>
      <c r="H35" s="713">
        <v>0</v>
      </c>
      <c r="I35" s="713">
        <v>0</v>
      </c>
      <c r="J35" s="713"/>
      <c r="K35" s="713"/>
    </row>
    <row r="36" spans="1:36" ht="26">
      <c r="A36" s="711"/>
      <c r="B36" s="714" t="s">
        <v>150</v>
      </c>
      <c r="C36" s="713"/>
      <c r="D36" s="713"/>
      <c r="E36" s="713">
        <v>0</v>
      </c>
      <c r="F36" s="713">
        <v>0</v>
      </c>
      <c r="G36" s="713">
        <v>0</v>
      </c>
      <c r="H36" s="713">
        <v>0</v>
      </c>
      <c r="I36" s="713">
        <v>0</v>
      </c>
      <c r="J36" s="713"/>
      <c r="K36" s="713"/>
    </row>
    <row r="37" spans="1:36" s="705" customFormat="1" ht="26">
      <c r="A37" s="707">
        <v>4</v>
      </c>
      <c r="B37" s="708" t="s">
        <v>155</v>
      </c>
      <c r="C37" s="709">
        <v>32000000000</v>
      </c>
      <c r="D37" s="709">
        <v>32000000000</v>
      </c>
      <c r="E37" s="709">
        <v>42320105107</v>
      </c>
      <c r="F37" s="709">
        <v>0</v>
      </c>
      <c r="G37" s="709">
        <v>7883937769</v>
      </c>
      <c r="H37" s="709">
        <v>34436167338</v>
      </c>
      <c r="I37" s="709">
        <v>0</v>
      </c>
      <c r="J37" s="709">
        <f>+E37/C37%</f>
        <v>132.250328459375</v>
      </c>
      <c r="K37" s="709">
        <f>+E37/D37%</f>
        <v>132.250328459375</v>
      </c>
      <c r="AB37" s="706"/>
      <c r="AC37" s="706"/>
      <c r="AD37" s="706"/>
      <c r="AE37" s="706"/>
      <c r="AF37" s="706"/>
      <c r="AG37" s="706"/>
      <c r="AH37" s="706"/>
      <c r="AI37" s="706"/>
      <c r="AJ37" s="706"/>
    </row>
    <row r="38" spans="1:36">
      <c r="A38" s="711"/>
      <c r="B38" s="712" t="s">
        <v>140</v>
      </c>
      <c r="C38" s="713">
        <v>20460000000</v>
      </c>
      <c r="D38" s="713">
        <v>20460000000</v>
      </c>
      <c r="E38" s="713">
        <v>31022328757</v>
      </c>
      <c r="F38" s="713">
        <v>0</v>
      </c>
      <c r="G38" s="713">
        <v>4653349149</v>
      </c>
      <c r="H38" s="713">
        <v>26368979608</v>
      </c>
      <c r="I38" s="713">
        <v>0</v>
      </c>
      <c r="J38" s="713">
        <f>+E38/C38%</f>
        <v>151.62428522482892</v>
      </c>
      <c r="K38" s="713">
        <f>+E38/D38%</f>
        <v>151.62428522482892</v>
      </c>
    </row>
    <row r="39" spans="1:36">
      <c r="A39" s="711"/>
      <c r="B39" s="712" t="s">
        <v>142</v>
      </c>
      <c r="C39" s="713">
        <v>1810000000</v>
      </c>
      <c r="D39" s="713">
        <v>1810000000</v>
      </c>
      <c r="E39" s="713">
        <v>644037768</v>
      </c>
      <c r="F39" s="713">
        <v>0</v>
      </c>
      <c r="G39" s="713">
        <v>96605658</v>
      </c>
      <c r="H39" s="713">
        <v>547432110</v>
      </c>
      <c r="I39" s="713">
        <v>0</v>
      </c>
      <c r="J39" s="713"/>
      <c r="K39" s="713"/>
    </row>
    <row r="40" spans="1:36">
      <c r="A40" s="711"/>
      <c r="B40" s="712" t="s">
        <v>143</v>
      </c>
      <c r="C40" s="713">
        <v>30000000</v>
      </c>
      <c r="D40" s="713">
        <v>30000000</v>
      </c>
      <c r="E40" s="713">
        <v>47044080</v>
      </c>
      <c r="F40" s="713">
        <v>0</v>
      </c>
      <c r="G40" s="713">
        <v>0</v>
      </c>
      <c r="H40" s="713">
        <v>47044080</v>
      </c>
      <c r="I40" s="713">
        <v>0</v>
      </c>
      <c r="J40" s="713"/>
      <c r="K40" s="713"/>
    </row>
    <row r="41" spans="1:36" ht="26">
      <c r="A41" s="711"/>
      <c r="B41" s="714" t="s">
        <v>156</v>
      </c>
      <c r="C41" s="713">
        <v>0</v>
      </c>
      <c r="D41" s="713">
        <v>0</v>
      </c>
      <c r="E41" s="713">
        <v>0</v>
      </c>
      <c r="F41" s="713">
        <v>0</v>
      </c>
      <c r="G41" s="713">
        <v>0</v>
      </c>
      <c r="H41" s="713">
        <v>0</v>
      </c>
      <c r="I41" s="713">
        <v>0</v>
      </c>
      <c r="J41" s="713"/>
      <c r="K41" s="713"/>
    </row>
    <row r="42" spans="1:36">
      <c r="A42" s="711"/>
      <c r="B42" s="712" t="s">
        <v>148</v>
      </c>
      <c r="C42" s="713">
        <v>9700000000</v>
      </c>
      <c r="D42" s="713">
        <v>9700000000</v>
      </c>
      <c r="E42" s="713">
        <v>10606694502</v>
      </c>
      <c r="F42" s="713">
        <v>0</v>
      </c>
      <c r="G42" s="713">
        <v>3133982962</v>
      </c>
      <c r="H42" s="713">
        <v>7472711540</v>
      </c>
      <c r="I42" s="713">
        <v>0</v>
      </c>
      <c r="J42" s="713">
        <f>+E42/C42%</f>
        <v>109.34736599999999</v>
      </c>
      <c r="K42" s="713">
        <f>+E42/D42%</f>
        <v>109.34736599999999</v>
      </c>
    </row>
    <row r="43" spans="1:36" s="705" customFormat="1">
      <c r="A43" s="707">
        <v>5</v>
      </c>
      <c r="B43" s="708" t="s">
        <v>157</v>
      </c>
      <c r="C43" s="709">
        <v>900000000</v>
      </c>
      <c r="D43" s="709">
        <v>900000000</v>
      </c>
      <c r="E43" s="709">
        <v>1268384468</v>
      </c>
      <c r="F43" s="709">
        <v>0</v>
      </c>
      <c r="G43" s="709">
        <v>0</v>
      </c>
      <c r="H43" s="709">
        <v>1201374771</v>
      </c>
      <c r="I43" s="709">
        <v>67009697</v>
      </c>
      <c r="J43" s="709">
        <f>+E43/C43%</f>
        <v>140.93160755555556</v>
      </c>
      <c r="K43" s="709">
        <f>+E43/D43%</f>
        <v>140.93160755555556</v>
      </c>
      <c r="AB43" s="706"/>
      <c r="AC43" s="706"/>
      <c r="AD43" s="706"/>
      <c r="AE43" s="706"/>
      <c r="AF43" s="706"/>
      <c r="AG43" s="706"/>
      <c r="AH43" s="706"/>
      <c r="AI43" s="706"/>
      <c r="AJ43" s="706"/>
    </row>
    <row r="44" spans="1:36" s="705" customFormat="1">
      <c r="A44" s="707">
        <v>6</v>
      </c>
      <c r="B44" s="708" t="s">
        <v>158</v>
      </c>
      <c r="C44" s="709"/>
      <c r="D44" s="709"/>
      <c r="E44" s="709">
        <v>0</v>
      </c>
      <c r="F44" s="709">
        <v>0</v>
      </c>
      <c r="G44" s="709">
        <v>0</v>
      </c>
      <c r="H44" s="709">
        <v>0</v>
      </c>
      <c r="I44" s="709">
        <v>0</v>
      </c>
      <c r="J44" s="709"/>
      <c r="K44" s="709"/>
      <c r="AB44" s="706"/>
      <c r="AC44" s="706"/>
      <c r="AD44" s="706"/>
      <c r="AE44" s="706"/>
      <c r="AF44" s="706"/>
      <c r="AG44" s="706"/>
      <c r="AH44" s="706"/>
      <c r="AI44" s="706"/>
      <c r="AJ44" s="706"/>
    </row>
    <row r="45" spans="1:36" s="705" customFormat="1">
      <c r="A45" s="707">
        <v>7</v>
      </c>
      <c r="B45" s="708" t="s">
        <v>159</v>
      </c>
      <c r="C45" s="709"/>
      <c r="D45" s="709"/>
      <c r="E45" s="709">
        <v>20045243</v>
      </c>
      <c r="F45" s="709">
        <v>0</v>
      </c>
      <c r="G45" s="709">
        <v>0</v>
      </c>
      <c r="H45" s="709">
        <v>0</v>
      </c>
      <c r="I45" s="709">
        <v>20045243</v>
      </c>
      <c r="J45" s="709"/>
      <c r="K45" s="709"/>
      <c r="AB45" s="710">
        <f>+E45+E54+E57</f>
        <v>11570149227</v>
      </c>
      <c r="AC45" s="706"/>
      <c r="AD45" s="706"/>
      <c r="AE45" s="706"/>
      <c r="AF45" s="706"/>
      <c r="AG45" s="706"/>
      <c r="AH45" s="706"/>
      <c r="AI45" s="706"/>
      <c r="AJ45" s="706"/>
    </row>
    <row r="46" spans="1:36" s="705" customFormat="1">
      <c r="A46" s="707">
        <v>8</v>
      </c>
      <c r="B46" s="708" t="s">
        <v>160</v>
      </c>
      <c r="C46" s="709">
        <v>1340000000</v>
      </c>
      <c r="D46" s="709">
        <v>1340000000</v>
      </c>
      <c r="E46" s="709">
        <v>1481587132</v>
      </c>
      <c r="F46" s="709">
        <v>0</v>
      </c>
      <c r="G46" s="709">
        <v>148158620</v>
      </c>
      <c r="H46" s="709">
        <v>1333428512</v>
      </c>
      <c r="I46" s="709">
        <v>0</v>
      </c>
      <c r="J46" s="709">
        <f>+E46/C46%</f>
        <v>110.56620388059702</v>
      </c>
      <c r="K46" s="709">
        <f>+E46/D46%</f>
        <v>110.56620388059702</v>
      </c>
      <c r="AB46" s="706"/>
      <c r="AC46" s="706"/>
      <c r="AD46" s="706"/>
      <c r="AE46" s="706"/>
      <c r="AF46" s="706"/>
      <c r="AG46" s="706"/>
      <c r="AH46" s="706"/>
      <c r="AI46" s="706"/>
      <c r="AJ46" s="706"/>
    </row>
    <row r="47" spans="1:36" s="705" customFormat="1">
      <c r="A47" s="707">
        <v>9</v>
      </c>
      <c r="B47" s="708" t="s">
        <v>161</v>
      </c>
      <c r="C47" s="709"/>
      <c r="D47" s="709"/>
      <c r="E47" s="709">
        <v>0</v>
      </c>
      <c r="F47" s="709">
        <v>0</v>
      </c>
      <c r="G47" s="709">
        <v>0</v>
      </c>
      <c r="H47" s="709">
        <v>0</v>
      </c>
      <c r="I47" s="709">
        <v>0</v>
      </c>
      <c r="J47" s="709"/>
      <c r="K47" s="709"/>
      <c r="AB47" s="706"/>
      <c r="AC47" s="706"/>
      <c r="AD47" s="706"/>
      <c r="AE47" s="706"/>
      <c r="AF47" s="706"/>
      <c r="AG47" s="706"/>
      <c r="AH47" s="706"/>
      <c r="AI47" s="706"/>
      <c r="AJ47" s="706"/>
    </row>
    <row r="48" spans="1:36">
      <c r="A48" s="711"/>
      <c r="B48" s="714" t="s">
        <v>162</v>
      </c>
      <c r="C48" s="713"/>
      <c r="D48" s="713"/>
      <c r="E48" s="713">
        <v>0</v>
      </c>
      <c r="F48" s="713">
        <v>0</v>
      </c>
      <c r="G48" s="713">
        <v>0</v>
      </c>
      <c r="H48" s="713">
        <v>0</v>
      </c>
      <c r="I48" s="713">
        <v>0</v>
      </c>
      <c r="J48" s="713"/>
      <c r="K48" s="713"/>
    </row>
    <row r="49" spans="1:36">
      <c r="A49" s="711"/>
      <c r="B49" s="714" t="s">
        <v>163</v>
      </c>
      <c r="C49" s="713"/>
      <c r="D49" s="713"/>
      <c r="E49" s="713">
        <v>0</v>
      </c>
      <c r="F49" s="713">
        <v>0</v>
      </c>
      <c r="G49" s="713">
        <v>0</v>
      </c>
      <c r="H49" s="713">
        <v>0</v>
      </c>
      <c r="I49" s="713">
        <v>0</v>
      </c>
      <c r="J49" s="713"/>
      <c r="K49" s="713"/>
    </row>
    <row r="50" spans="1:36" s="705" customFormat="1">
      <c r="A50" s="707">
        <v>10</v>
      </c>
      <c r="B50" s="708" t="s">
        <v>164</v>
      </c>
      <c r="C50" s="709">
        <v>480000000</v>
      </c>
      <c r="D50" s="709">
        <v>480000000</v>
      </c>
      <c r="E50" s="709">
        <v>758340332</v>
      </c>
      <c r="F50" s="709">
        <v>128556704</v>
      </c>
      <c r="G50" s="709">
        <v>0</v>
      </c>
      <c r="H50" s="709">
        <v>466202628</v>
      </c>
      <c r="I50" s="709">
        <v>163581000</v>
      </c>
      <c r="J50" s="709">
        <f>+E50/C50%</f>
        <v>157.98756916666667</v>
      </c>
      <c r="K50" s="709">
        <f>+E50/D50%</f>
        <v>157.98756916666667</v>
      </c>
      <c r="AB50" s="706"/>
      <c r="AC50" s="706"/>
      <c r="AD50" s="706"/>
      <c r="AE50" s="706"/>
      <c r="AF50" s="706"/>
      <c r="AG50" s="706"/>
      <c r="AH50" s="706"/>
      <c r="AI50" s="706"/>
      <c r="AJ50" s="706"/>
    </row>
    <row r="51" spans="1:36" ht="26">
      <c r="A51" s="711"/>
      <c r="B51" s="714" t="s">
        <v>165</v>
      </c>
      <c r="C51" s="713">
        <v>42000000</v>
      </c>
      <c r="D51" s="713">
        <v>42000000</v>
      </c>
      <c r="E51" s="713">
        <v>131556704</v>
      </c>
      <c r="F51" s="713">
        <v>128556704</v>
      </c>
      <c r="G51" s="713">
        <v>0</v>
      </c>
      <c r="H51" s="713">
        <v>0</v>
      </c>
      <c r="I51" s="713">
        <v>3000000</v>
      </c>
      <c r="J51" s="713"/>
      <c r="K51" s="713"/>
    </row>
    <row r="52" spans="1:36" ht="26">
      <c r="A52" s="711"/>
      <c r="B52" s="714" t="s">
        <v>166</v>
      </c>
      <c r="C52" s="713">
        <v>438000000</v>
      </c>
      <c r="D52" s="713">
        <v>438000000</v>
      </c>
      <c r="E52" s="713">
        <v>626783628</v>
      </c>
      <c r="F52" s="713">
        <v>0</v>
      </c>
      <c r="G52" s="713">
        <v>0</v>
      </c>
      <c r="H52" s="713">
        <v>466202628</v>
      </c>
      <c r="I52" s="713">
        <v>160581000</v>
      </c>
      <c r="J52" s="713">
        <f>+E52/C52%</f>
        <v>143.10128493150685</v>
      </c>
      <c r="K52" s="713">
        <f>+E52/D52%</f>
        <v>143.10128493150685</v>
      </c>
      <c r="L52" s="685">
        <f>+I54/0.1</f>
        <v>9225041540</v>
      </c>
    </row>
    <row r="53" spans="1:36" ht="26">
      <c r="A53" s="711"/>
      <c r="B53" s="714" t="s">
        <v>167</v>
      </c>
      <c r="C53" s="713">
        <v>150000000</v>
      </c>
      <c r="D53" s="713">
        <v>150000000</v>
      </c>
      <c r="E53" s="713">
        <v>197599255</v>
      </c>
      <c r="F53" s="713">
        <v>0</v>
      </c>
      <c r="G53" s="713">
        <v>0</v>
      </c>
      <c r="H53" s="713">
        <v>197599255</v>
      </c>
      <c r="I53" s="713">
        <v>0</v>
      </c>
      <c r="J53" s="713">
        <f>+E53/C53%</f>
        <v>131.73283666666666</v>
      </c>
      <c r="K53" s="713">
        <f>+E53/D53%</f>
        <v>131.73283666666666</v>
      </c>
      <c r="L53" s="693">
        <f>+E54-L52</f>
        <v>-40</v>
      </c>
    </row>
    <row r="54" spans="1:36" s="705" customFormat="1">
      <c r="A54" s="707">
        <v>11</v>
      </c>
      <c r="B54" s="708" t="s">
        <v>168</v>
      </c>
      <c r="C54" s="709">
        <v>5000000000</v>
      </c>
      <c r="D54" s="709">
        <v>5300000000</v>
      </c>
      <c r="E54" s="709">
        <v>9225041500</v>
      </c>
      <c r="F54" s="709">
        <v>0</v>
      </c>
      <c r="G54" s="709">
        <v>1107004978</v>
      </c>
      <c r="H54" s="709">
        <v>7195532368</v>
      </c>
      <c r="I54" s="709">
        <v>922504154</v>
      </c>
      <c r="J54" s="709">
        <f>+E54/C54%</f>
        <v>184.50083000000001</v>
      </c>
      <c r="K54" s="709">
        <f>+E54/D54%</f>
        <v>174.05738679245283</v>
      </c>
      <c r="L54" s="716">
        <f>+H54-3900000000</f>
        <v>3295532368</v>
      </c>
      <c r="AB54" s="706"/>
      <c r="AC54" s="706"/>
      <c r="AD54" s="706"/>
      <c r="AE54" s="706"/>
      <c r="AF54" s="706"/>
      <c r="AG54" s="706"/>
      <c r="AH54" s="706"/>
      <c r="AI54" s="706"/>
      <c r="AJ54" s="706"/>
    </row>
    <row r="55" spans="1:36" ht="26">
      <c r="A55" s="711"/>
      <c r="B55" s="714" t="s">
        <v>169</v>
      </c>
      <c r="C55" s="713">
        <v>0</v>
      </c>
      <c r="D55" s="713">
        <v>0</v>
      </c>
      <c r="E55" s="713">
        <v>0</v>
      </c>
      <c r="F55" s="713">
        <v>0</v>
      </c>
      <c r="G55" s="713">
        <v>0</v>
      </c>
      <c r="H55" s="713">
        <v>0</v>
      </c>
      <c r="I55" s="713">
        <v>0</v>
      </c>
      <c r="J55" s="713"/>
      <c r="K55" s="713"/>
      <c r="L55" s="693">
        <f>+L54-2640000000-2807322000-6846950000-1040000000</f>
        <v>-10038739632</v>
      </c>
    </row>
    <row r="56" spans="1:36" ht="26">
      <c r="A56" s="711"/>
      <c r="B56" s="714" t="s">
        <v>170</v>
      </c>
      <c r="C56" s="713">
        <v>5000000000</v>
      </c>
      <c r="D56" s="713">
        <v>5300000000</v>
      </c>
      <c r="E56" s="713">
        <v>9225041500</v>
      </c>
      <c r="F56" s="713">
        <v>0</v>
      </c>
      <c r="G56" s="713">
        <v>1107004978</v>
      </c>
      <c r="H56" s="713">
        <v>7195532368</v>
      </c>
      <c r="I56" s="713">
        <v>922504154</v>
      </c>
      <c r="J56" s="713">
        <f>+E56/C56%</f>
        <v>184.50083000000001</v>
      </c>
      <c r="K56" s="713">
        <f>+E56/D56%</f>
        <v>174.05738679245283</v>
      </c>
    </row>
    <row r="57" spans="1:36" s="705" customFormat="1">
      <c r="A57" s="707" t="s">
        <v>171</v>
      </c>
      <c r="B57" s="708" t="s">
        <v>172</v>
      </c>
      <c r="C57" s="709">
        <v>1300000000</v>
      </c>
      <c r="D57" s="709">
        <v>1300000000</v>
      </c>
      <c r="E57" s="709">
        <v>2325062484</v>
      </c>
      <c r="F57" s="709">
        <v>0</v>
      </c>
      <c r="G57" s="709">
        <v>465012494</v>
      </c>
      <c r="H57" s="709">
        <v>1860049990</v>
      </c>
      <c r="I57" s="709">
        <v>0</v>
      </c>
      <c r="J57" s="709">
        <f>+E57/C57%</f>
        <v>178.8509603076923</v>
      </c>
      <c r="K57" s="709">
        <f>+E57/D57%</f>
        <v>178.8509603076923</v>
      </c>
      <c r="AB57" s="706"/>
      <c r="AC57" s="706"/>
      <c r="AD57" s="706"/>
      <c r="AE57" s="706"/>
      <c r="AF57" s="706"/>
      <c r="AG57" s="706"/>
      <c r="AH57" s="706"/>
      <c r="AI57" s="706"/>
      <c r="AJ57" s="706"/>
    </row>
    <row r="58" spans="1:36">
      <c r="A58" s="707">
        <v>13</v>
      </c>
      <c r="B58" s="708" t="s">
        <v>173</v>
      </c>
      <c r="C58" s="713">
        <v>0</v>
      </c>
      <c r="D58" s="713">
        <v>0</v>
      </c>
      <c r="E58" s="713">
        <v>0</v>
      </c>
      <c r="F58" s="713">
        <v>0</v>
      </c>
      <c r="G58" s="713">
        <v>0</v>
      </c>
      <c r="H58" s="713">
        <v>0</v>
      </c>
      <c r="I58" s="713">
        <v>0</v>
      </c>
      <c r="J58" s="713"/>
      <c r="K58" s="713"/>
    </row>
    <row r="59" spans="1:36" ht="26">
      <c r="A59" s="712"/>
      <c r="B59" s="714" t="s">
        <v>174</v>
      </c>
      <c r="C59" s="713">
        <v>0</v>
      </c>
      <c r="D59" s="713">
        <v>0</v>
      </c>
      <c r="E59" s="713">
        <v>0</v>
      </c>
      <c r="F59" s="713">
        <v>0</v>
      </c>
      <c r="G59" s="713">
        <v>0</v>
      </c>
      <c r="H59" s="713">
        <v>0</v>
      </c>
      <c r="I59" s="713">
        <v>0</v>
      </c>
      <c r="J59" s="713"/>
      <c r="K59" s="713"/>
    </row>
    <row r="60" spans="1:36" ht="26">
      <c r="A60" s="712"/>
      <c r="B60" s="714" t="s">
        <v>175</v>
      </c>
      <c r="C60" s="713">
        <v>0</v>
      </c>
      <c r="D60" s="713">
        <v>0</v>
      </c>
      <c r="E60" s="713">
        <v>0</v>
      </c>
      <c r="F60" s="713">
        <v>0</v>
      </c>
      <c r="G60" s="713">
        <v>0</v>
      </c>
      <c r="H60" s="713">
        <v>0</v>
      </c>
      <c r="I60" s="713">
        <v>0</v>
      </c>
      <c r="J60" s="713"/>
      <c r="K60" s="713"/>
    </row>
    <row r="61" spans="1:36">
      <c r="A61" s="707">
        <v>14</v>
      </c>
      <c r="B61" s="708" t="s">
        <v>176</v>
      </c>
      <c r="C61" s="713">
        <v>0</v>
      </c>
      <c r="D61" s="713">
        <v>0</v>
      </c>
      <c r="E61" s="713">
        <v>0</v>
      </c>
      <c r="F61" s="713">
        <v>0</v>
      </c>
      <c r="G61" s="713">
        <v>0</v>
      </c>
      <c r="H61" s="713">
        <v>0</v>
      </c>
      <c r="I61" s="713">
        <v>0</v>
      </c>
      <c r="J61" s="713"/>
      <c r="K61" s="713"/>
    </row>
    <row r="62" spans="1:36">
      <c r="A62" s="711"/>
      <c r="B62" s="714" t="s">
        <v>177</v>
      </c>
      <c r="C62" s="713">
        <v>0</v>
      </c>
      <c r="D62" s="713">
        <v>0</v>
      </c>
      <c r="E62" s="713">
        <v>0</v>
      </c>
      <c r="F62" s="713">
        <v>0</v>
      </c>
      <c r="G62" s="713">
        <v>0</v>
      </c>
      <c r="H62" s="713">
        <v>0</v>
      </c>
      <c r="I62" s="713">
        <v>0</v>
      </c>
      <c r="J62" s="713"/>
      <c r="K62" s="713"/>
    </row>
    <row r="63" spans="1:36">
      <c r="A63" s="712"/>
      <c r="B63" s="714" t="s">
        <v>178</v>
      </c>
      <c r="C63" s="713">
        <v>0</v>
      </c>
      <c r="D63" s="713">
        <v>0</v>
      </c>
      <c r="E63" s="713">
        <v>0</v>
      </c>
      <c r="F63" s="713">
        <v>0</v>
      </c>
      <c r="G63" s="713">
        <v>0</v>
      </c>
      <c r="H63" s="713">
        <v>0</v>
      </c>
      <c r="I63" s="713">
        <v>0</v>
      </c>
      <c r="J63" s="713"/>
      <c r="K63" s="713"/>
    </row>
    <row r="64" spans="1:36" ht="26">
      <c r="A64" s="707">
        <v>15</v>
      </c>
      <c r="B64" s="708" t="s">
        <v>179</v>
      </c>
      <c r="C64" s="713">
        <v>0</v>
      </c>
      <c r="D64" s="713">
        <v>0</v>
      </c>
      <c r="E64" s="709">
        <v>1910000</v>
      </c>
      <c r="F64" s="709">
        <v>0</v>
      </c>
      <c r="G64" s="709">
        <v>0</v>
      </c>
      <c r="H64" s="709">
        <v>1910000</v>
      </c>
      <c r="I64" s="709">
        <v>0</v>
      </c>
      <c r="J64" s="713"/>
      <c r="K64" s="713"/>
    </row>
    <row r="65" spans="1:36">
      <c r="A65" s="712"/>
      <c r="B65" s="714" t="s">
        <v>180</v>
      </c>
      <c r="C65" s="713">
        <v>0</v>
      </c>
      <c r="D65" s="713">
        <v>0</v>
      </c>
      <c r="E65" s="713">
        <v>0</v>
      </c>
      <c r="F65" s="713">
        <v>0</v>
      </c>
      <c r="G65" s="713">
        <v>0</v>
      </c>
      <c r="H65" s="713">
        <v>0</v>
      </c>
      <c r="I65" s="713">
        <v>0</v>
      </c>
      <c r="J65" s="713"/>
      <c r="K65" s="713"/>
    </row>
    <row r="66" spans="1:36">
      <c r="A66" s="712"/>
      <c r="B66" s="714" t="s">
        <v>181</v>
      </c>
      <c r="C66" s="713">
        <v>0</v>
      </c>
      <c r="D66" s="713">
        <v>0</v>
      </c>
      <c r="E66" s="713">
        <v>1910000</v>
      </c>
      <c r="F66" s="713">
        <v>0</v>
      </c>
      <c r="G66" s="713">
        <v>0</v>
      </c>
      <c r="H66" s="713">
        <v>1910000</v>
      </c>
      <c r="I66" s="713">
        <v>0</v>
      </c>
      <c r="J66" s="713"/>
      <c r="K66" s="713"/>
    </row>
    <row r="67" spans="1:36" ht="26">
      <c r="A67" s="707">
        <v>16</v>
      </c>
      <c r="B67" s="708" t="s">
        <v>182</v>
      </c>
      <c r="C67" s="713">
        <v>0</v>
      </c>
      <c r="D67" s="713">
        <v>0</v>
      </c>
      <c r="E67" s="713">
        <v>0</v>
      </c>
      <c r="F67" s="709">
        <v>0</v>
      </c>
      <c r="G67" s="709">
        <v>0</v>
      </c>
      <c r="H67" s="709">
        <v>0</v>
      </c>
      <c r="I67" s="709">
        <v>0</v>
      </c>
      <c r="J67" s="713"/>
      <c r="K67" s="713"/>
    </row>
    <row r="68" spans="1:36" s="705" customFormat="1">
      <c r="A68" s="707">
        <v>17</v>
      </c>
      <c r="B68" s="708" t="s">
        <v>183</v>
      </c>
      <c r="C68" s="709">
        <v>1280000000</v>
      </c>
      <c r="D68" s="709">
        <v>1280000000</v>
      </c>
      <c r="E68" s="709">
        <v>1940385218</v>
      </c>
      <c r="F68" s="709">
        <v>582617650</v>
      </c>
      <c r="G68" s="709">
        <v>1005199454</v>
      </c>
      <c r="H68" s="709">
        <v>333605114</v>
      </c>
      <c r="I68" s="709">
        <v>18963000</v>
      </c>
      <c r="J68" s="709">
        <f>+E68/C68%</f>
        <v>151.59259515625001</v>
      </c>
      <c r="K68" s="709">
        <f>+E68/D68%</f>
        <v>151.59259515625001</v>
      </c>
      <c r="AB68" s="706"/>
      <c r="AC68" s="706"/>
      <c r="AD68" s="706"/>
      <c r="AE68" s="706"/>
      <c r="AF68" s="706"/>
      <c r="AG68" s="706"/>
      <c r="AH68" s="706"/>
      <c r="AI68" s="706"/>
      <c r="AJ68" s="706"/>
    </row>
    <row r="69" spans="1:36" ht="26">
      <c r="A69" s="712"/>
      <c r="B69" s="714" t="s">
        <v>184</v>
      </c>
      <c r="C69" s="713">
        <v>140000000</v>
      </c>
      <c r="D69" s="713">
        <v>140000000</v>
      </c>
      <c r="E69" s="713">
        <v>582617650</v>
      </c>
      <c r="F69" s="713">
        <v>582617650</v>
      </c>
      <c r="G69" s="713">
        <v>0</v>
      </c>
      <c r="H69" s="713">
        <v>0</v>
      </c>
      <c r="I69" s="713">
        <v>0</v>
      </c>
      <c r="J69" s="709"/>
      <c r="K69" s="709"/>
    </row>
    <row r="70" spans="1:36" s="705" customFormat="1" ht="26">
      <c r="A70" s="707">
        <v>18</v>
      </c>
      <c r="B70" s="708" t="s">
        <v>185</v>
      </c>
      <c r="C70" s="709">
        <v>7100000000</v>
      </c>
      <c r="D70" s="709">
        <v>7100000000</v>
      </c>
      <c r="E70" s="709">
        <v>816630302</v>
      </c>
      <c r="F70" s="709">
        <v>518386986</v>
      </c>
      <c r="G70" s="709">
        <v>222165852</v>
      </c>
      <c r="H70" s="709">
        <v>76077464</v>
      </c>
      <c r="I70" s="709">
        <v>0</v>
      </c>
      <c r="J70" s="709">
        <f>+E70/C70%</f>
        <v>11.50183523943662</v>
      </c>
      <c r="K70" s="709">
        <f>+E70/D70%</f>
        <v>11.50183523943662</v>
      </c>
      <c r="AB70" s="710">
        <f>+E68+E64</f>
        <v>1942295218</v>
      </c>
      <c r="AC70" s="706"/>
      <c r="AD70" s="706"/>
      <c r="AE70" s="706"/>
      <c r="AF70" s="706"/>
      <c r="AG70" s="706"/>
      <c r="AH70" s="706"/>
      <c r="AI70" s="706"/>
      <c r="AJ70" s="706"/>
    </row>
    <row r="71" spans="1:36" ht="26">
      <c r="A71" s="712"/>
      <c r="B71" s="714" t="s">
        <v>186</v>
      </c>
      <c r="C71" s="713">
        <v>7030000000</v>
      </c>
      <c r="D71" s="713">
        <v>7030000000</v>
      </c>
      <c r="E71" s="713">
        <v>740552838</v>
      </c>
      <c r="F71" s="713">
        <v>518386986</v>
      </c>
      <c r="G71" s="713">
        <v>222165852</v>
      </c>
      <c r="H71" s="713">
        <v>0</v>
      </c>
      <c r="I71" s="713">
        <v>0</v>
      </c>
      <c r="J71" s="709">
        <f>+E71/C71%</f>
        <v>10.534179772403983</v>
      </c>
      <c r="K71" s="709">
        <f>+E71/D71%</f>
        <v>10.534179772403983</v>
      </c>
    </row>
    <row r="72" spans="1:36" ht="26">
      <c r="A72" s="711"/>
      <c r="B72" s="714" t="s">
        <v>187</v>
      </c>
      <c r="C72" s="713">
        <v>70000000</v>
      </c>
      <c r="D72" s="713">
        <v>70000000</v>
      </c>
      <c r="E72" s="713">
        <v>76077464</v>
      </c>
      <c r="F72" s="713">
        <v>0</v>
      </c>
      <c r="G72" s="713">
        <v>0</v>
      </c>
      <c r="H72" s="713">
        <v>76077464</v>
      </c>
      <c r="I72" s="713">
        <v>0</v>
      </c>
      <c r="J72" s="709">
        <f>+E72/C72%</f>
        <v>108.68209142857143</v>
      </c>
      <c r="K72" s="709">
        <f>+E72/D72%</f>
        <v>108.68209142857143</v>
      </c>
    </row>
    <row r="73" spans="1:36" s="705" customFormat="1">
      <c r="A73" s="707">
        <v>19</v>
      </c>
      <c r="B73" s="708" t="s">
        <v>188</v>
      </c>
      <c r="C73" s="709"/>
      <c r="D73" s="709"/>
      <c r="E73" s="709">
        <v>0</v>
      </c>
      <c r="F73" s="709">
        <v>0</v>
      </c>
      <c r="G73" s="709">
        <v>0</v>
      </c>
      <c r="H73" s="709">
        <v>0</v>
      </c>
      <c r="I73" s="709">
        <v>0</v>
      </c>
      <c r="J73" s="709"/>
      <c r="K73" s="709"/>
      <c r="AB73" s="706"/>
      <c r="AC73" s="706"/>
      <c r="AD73" s="706"/>
      <c r="AE73" s="706"/>
      <c r="AF73" s="706"/>
      <c r="AG73" s="706"/>
      <c r="AH73" s="706"/>
      <c r="AI73" s="706"/>
      <c r="AJ73" s="706"/>
    </row>
    <row r="74" spans="1:36">
      <c r="A74" s="707">
        <v>20</v>
      </c>
      <c r="B74" s="708" t="s">
        <v>189</v>
      </c>
      <c r="C74" s="713"/>
      <c r="D74" s="713"/>
      <c r="E74" s="709">
        <v>0</v>
      </c>
      <c r="F74" s="709">
        <v>0</v>
      </c>
      <c r="G74" s="709">
        <v>0</v>
      </c>
      <c r="H74" s="709">
        <v>0</v>
      </c>
      <c r="I74" s="709">
        <v>0</v>
      </c>
      <c r="J74" s="713"/>
      <c r="K74" s="713"/>
    </row>
    <row r="75" spans="1:36" ht="26">
      <c r="A75" s="707">
        <v>21</v>
      </c>
      <c r="B75" s="708" t="s">
        <v>190</v>
      </c>
      <c r="C75" s="713"/>
      <c r="D75" s="713"/>
      <c r="E75" s="713">
        <v>0</v>
      </c>
      <c r="F75" s="709">
        <v>0</v>
      </c>
      <c r="G75" s="709">
        <v>0</v>
      </c>
      <c r="H75" s="709">
        <v>0</v>
      </c>
      <c r="I75" s="709">
        <v>0</v>
      </c>
      <c r="J75" s="713"/>
      <c r="K75" s="713"/>
    </row>
    <row r="76" spans="1:36">
      <c r="A76" s="707" t="s">
        <v>9</v>
      </c>
      <c r="B76" s="708" t="s">
        <v>191</v>
      </c>
      <c r="C76" s="713"/>
      <c r="D76" s="713"/>
      <c r="E76" s="713">
        <v>0</v>
      </c>
      <c r="F76" s="709">
        <v>0</v>
      </c>
      <c r="G76" s="709">
        <v>0</v>
      </c>
      <c r="H76" s="709">
        <v>0</v>
      </c>
      <c r="I76" s="709">
        <v>0</v>
      </c>
      <c r="J76" s="713"/>
      <c r="K76" s="713"/>
    </row>
    <row r="77" spans="1:36" ht="27">
      <c r="A77" s="717">
        <v>1</v>
      </c>
      <c r="B77" s="718" t="s">
        <v>192</v>
      </c>
      <c r="C77" s="713"/>
      <c r="D77" s="713"/>
      <c r="E77" s="713">
        <v>0</v>
      </c>
      <c r="F77" s="709">
        <v>0</v>
      </c>
      <c r="G77" s="709">
        <v>0</v>
      </c>
      <c r="H77" s="709">
        <v>0</v>
      </c>
      <c r="I77" s="709">
        <v>0</v>
      </c>
      <c r="J77" s="713"/>
      <c r="K77" s="713"/>
    </row>
    <row r="78" spans="1:36">
      <c r="A78" s="711" t="s">
        <v>193</v>
      </c>
      <c r="B78" s="712" t="s">
        <v>194</v>
      </c>
      <c r="C78" s="713"/>
      <c r="D78" s="713"/>
      <c r="E78" s="713">
        <v>0</v>
      </c>
      <c r="F78" s="709">
        <v>0</v>
      </c>
      <c r="G78" s="709">
        <v>0</v>
      </c>
      <c r="H78" s="709">
        <v>0</v>
      </c>
      <c r="I78" s="709">
        <v>0</v>
      </c>
      <c r="J78" s="713"/>
      <c r="K78" s="713"/>
    </row>
    <row r="79" spans="1:36">
      <c r="A79" s="711" t="s">
        <v>195</v>
      </c>
      <c r="B79" s="712" t="s">
        <v>196</v>
      </c>
      <c r="C79" s="713"/>
      <c r="D79" s="713"/>
      <c r="E79" s="713">
        <v>0</v>
      </c>
      <c r="F79" s="709">
        <v>0</v>
      </c>
      <c r="G79" s="709">
        <v>0</v>
      </c>
      <c r="H79" s="709">
        <v>0</v>
      </c>
      <c r="I79" s="709">
        <v>0</v>
      </c>
      <c r="J79" s="713"/>
      <c r="K79" s="713"/>
    </row>
    <row r="80" spans="1:36" ht="26">
      <c r="A80" s="711" t="s">
        <v>197</v>
      </c>
      <c r="B80" s="712" t="s">
        <v>198</v>
      </c>
      <c r="C80" s="713"/>
      <c r="D80" s="713"/>
      <c r="E80" s="713">
        <v>0</v>
      </c>
      <c r="F80" s="709">
        <v>0</v>
      </c>
      <c r="G80" s="709">
        <v>0</v>
      </c>
      <c r="H80" s="709">
        <v>0</v>
      </c>
      <c r="I80" s="709">
        <v>0</v>
      </c>
      <c r="J80" s="713"/>
      <c r="K80" s="713"/>
    </row>
    <row r="81" spans="1:11" ht="26">
      <c r="A81" s="711" t="s">
        <v>199</v>
      </c>
      <c r="B81" s="712" t="s">
        <v>200</v>
      </c>
      <c r="C81" s="713"/>
      <c r="D81" s="713"/>
      <c r="E81" s="713">
        <v>0</v>
      </c>
      <c r="F81" s="709">
        <v>0</v>
      </c>
      <c r="G81" s="709">
        <v>0</v>
      </c>
      <c r="H81" s="709">
        <v>0</v>
      </c>
      <c r="I81" s="709">
        <v>0</v>
      </c>
      <c r="J81" s="713"/>
      <c r="K81" s="713"/>
    </row>
    <row r="82" spans="1:11">
      <c r="A82" s="711" t="s">
        <v>201</v>
      </c>
      <c r="B82" s="712" t="s">
        <v>202</v>
      </c>
      <c r="C82" s="713"/>
      <c r="D82" s="713"/>
      <c r="E82" s="713">
        <v>0</v>
      </c>
      <c r="F82" s="709">
        <v>0</v>
      </c>
      <c r="G82" s="709">
        <v>0</v>
      </c>
      <c r="H82" s="709">
        <v>0</v>
      </c>
      <c r="I82" s="709">
        <v>0</v>
      </c>
      <c r="J82" s="713"/>
      <c r="K82" s="713"/>
    </row>
    <row r="83" spans="1:11">
      <c r="A83" s="711" t="s">
        <v>203</v>
      </c>
      <c r="B83" s="712" t="s">
        <v>204</v>
      </c>
      <c r="C83" s="713"/>
      <c r="D83" s="713"/>
      <c r="E83" s="713">
        <v>0</v>
      </c>
      <c r="F83" s="709">
        <v>0</v>
      </c>
      <c r="G83" s="709">
        <v>0</v>
      </c>
      <c r="H83" s="709">
        <v>0</v>
      </c>
      <c r="I83" s="709">
        <v>0</v>
      </c>
      <c r="J83" s="713"/>
      <c r="K83" s="713"/>
    </row>
    <row r="84" spans="1:11" ht="27">
      <c r="A84" s="717">
        <v>2</v>
      </c>
      <c r="B84" s="718" t="s">
        <v>205</v>
      </c>
      <c r="C84" s="713"/>
      <c r="D84" s="713"/>
      <c r="E84" s="713">
        <v>0</v>
      </c>
      <c r="F84" s="709">
        <v>0</v>
      </c>
      <c r="G84" s="709">
        <v>0</v>
      </c>
      <c r="H84" s="709">
        <v>0</v>
      </c>
      <c r="I84" s="709">
        <v>0</v>
      </c>
      <c r="J84" s="713"/>
      <c r="K84" s="713"/>
    </row>
    <row r="85" spans="1:11" ht="13.5">
      <c r="A85" s="717">
        <v>3</v>
      </c>
      <c r="B85" s="718" t="s">
        <v>206</v>
      </c>
      <c r="C85" s="713"/>
      <c r="D85" s="713"/>
      <c r="E85" s="713">
        <v>0</v>
      </c>
      <c r="F85" s="709">
        <v>0</v>
      </c>
      <c r="G85" s="709">
        <v>0</v>
      </c>
      <c r="H85" s="709">
        <v>0</v>
      </c>
      <c r="I85" s="709">
        <v>0</v>
      </c>
      <c r="J85" s="713"/>
      <c r="K85" s="713"/>
    </row>
    <row r="86" spans="1:11" ht="40.5">
      <c r="A86" s="717">
        <v>4</v>
      </c>
      <c r="B86" s="718" t="s">
        <v>207</v>
      </c>
      <c r="C86" s="713"/>
      <c r="D86" s="713"/>
      <c r="E86" s="713">
        <v>0</v>
      </c>
      <c r="F86" s="709">
        <v>0</v>
      </c>
      <c r="G86" s="709">
        <v>0</v>
      </c>
      <c r="H86" s="709">
        <v>0</v>
      </c>
      <c r="I86" s="709">
        <v>0</v>
      </c>
      <c r="J86" s="713"/>
      <c r="K86" s="713"/>
    </row>
    <row r="87" spans="1:11">
      <c r="A87" s="707" t="s">
        <v>12</v>
      </c>
      <c r="B87" s="708" t="s">
        <v>208</v>
      </c>
      <c r="C87" s="713"/>
      <c r="D87" s="713"/>
      <c r="E87" s="713">
        <v>0</v>
      </c>
      <c r="F87" s="709">
        <v>0</v>
      </c>
      <c r="G87" s="709">
        <v>0</v>
      </c>
      <c r="H87" s="709">
        <v>0</v>
      </c>
      <c r="I87" s="709">
        <v>0</v>
      </c>
      <c r="J87" s="713"/>
      <c r="K87" s="713"/>
    </row>
    <row r="88" spans="1:11">
      <c r="A88" s="711">
        <v>1</v>
      </c>
      <c r="B88" s="712" t="s">
        <v>209</v>
      </c>
      <c r="C88" s="713"/>
      <c r="D88" s="713"/>
      <c r="E88" s="713">
        <v>0</v>
      </c>
      <c r="F88" s="709">
        <v>0</v>
      </c>
      <c r="G88" s="709">
        <v>0</v>
      </c>
      <c r="H88" s="709">
        <v>0</v>
      </c>
      <c r="I88" s="709">
        <v>0</v>
      </c>
      <c r="J88" s="713"/>
      <c r="K88" s="713"/>
    </row>
    <row r="89" spans="1:11">
      <c r="A89" s="711">
        <v>2</v>
      </c>
      <c r="B89" s="712" t="s">
        <v>210</v>
      </c>
      <c r="C89" s="713"/>
      <c r="D89" s="713"/>
      <c r="E89" s="713">
        <v>0</v>
      </c>
      <c r="F89" s="709">
        <v>0</v>
      </c>
      <c r="G89" s="709">
        <v>0</v>
      </c>
      <c r="H89" s="709">
        <v>0</v>
      </c>
      <c r="I89" s="709">
        <v>0</v>
      </c>
      <c r="J89" s="713"/>
      <c r="K89" s="713"/>
    </row>
    <row r="90" spans="1:11">
      <c r="A90" s="711">
        <v>3</v>
      </c>
      <c r="B90" s="712" t="s">
        <v>211</v>
      </c>
      <c r="C90" s="713"/>
      <c r="D90" s="713"/>
      <c r="E90" s="713">
        <v>0</v>
      </c>
      <c r="F90" s="709">
        <v>0</v>
      </c>
      <c r="G90" s="709">
        <v>0</v>
      </c>
      <c r="H90" s="709">
        <v>0</v>
      </c>
      <c r="I90" s="709">
        <v>0</v>
      </c>
      <c r="J90" s="713"/>
      <c r="K90" s="713"/>
    </row>
    <row r="91" spans="1:11">
      <c r="A91" s="711">
        <v>4</v>
      </c>
      <c r="B91" s="712" t="s">
        <v>212</v>
      </c>
      <c r="C91" s="713"/>
      <c r="D91" s="713"/>
      <c r="E91" s="713">
        <v>0</v>
      </c>
      <c r="F91" s="709">
        <v>0</v>
      </c>
      <c r="G91" s="709">
        <v>0</v>
      </c>
      <c r="H91" s="709">
        <v>0</v>
      </c>
      <c r="I91" s="709">
        <v>0</v>
      </c>
      <c r="J91" s="713"/>
      <c r="K91" s="713"/>
    </row>
    <row r="92" spans="1:11" ht="26">
      <c r="A92" s="711">
        <v>5</v>
      </c>
      <c r="B92" s="712" t="s">
        <v>213</v>
      </c>
      <c r="C92" s="713"/>
      <c r="D92" s="713"/>
      <c r="E92" s="713">
        <v>0</v>
      </c>
      <c r="F92" s="709">
        <v>0</v>
      </c>
      <c r="G92" s="709">
        <v>0</v>
      </c>
      <c r="H92" s="709">
        <v>0</v>
      </c>
      <c r="I92" s="709">
        <v>0</v>
      </c>
      <c r="J92" s="713"/>
      <c r="K92" s="713"/>
    </row>
    <row r="93" spans="1:11">
      <c r="A93" s="711">
        <v>6</v>
      </c>
      <c r="B93" s="712" t="s">
        <v>214</v>
      </c>
      <c r="C93" s="713"/>
      <c r="D93" s="713"/>
      <c r="E93" s="713">
        <v>0</v>
      </c>
      <c r="F93" s="709">
        <v>0</v>
      </c>
      <c r="G93" s="709">
        <v>0</v>
      </c>
      <c r="H93" s="709">
        <v>0</v>
      </c>
      <c r="I93" s="709">
        <v>0</v>
      </c>
      <c r="J93" s="713"/>
      <c r="K93" s="713"/>
    </row>
    <row r="94" spans="1:11" ht="26">
      <c r="A94" s="711">
        <v>7</v>
      </c>
      <c r="B94" s="712" t="s">
        <v>215</v>
      </c>
      <c r="C94" s="713"/>
      <c r="D94" s="713"/>
      <c r="E94" s="713">
        <v>0</v>
      </c>
      <c r="F94" s="709">
        <v>0</v>
      </c>
      <c r="G94" s="709">
        <v>0</v>
      </c>
      <c r="H94" s="709">
        <v>0</v>
      </c>
      <c r="I94" s="709">
        <v>0</v>
      </c>
      <c r="J94" s="713"/>
      <c r="K94" s="713"/>
    </row>
    <row r="95" spans="1:11">
      <c r="A95" s="711">
        <v>8</v>
      </c>
      <c r="B95" s="712" t="s">
        <v>216</v>
      </c>
      <c r="C95" s="713"/>
      <c r="D95" s="713"/>
      <c r="E95" s="713">
        <v>0</v>
      </c>
      <c r="F95" s="709">
        <v>0</v>
      </c>
      <c r="G95" s="709">
        <v>0</v>
      </c>
      <c r="H95" s="709">
        <v>0</v>
      </c>
      <c r="I95" s="709">
        <v>0</v>
      </c>
      <c r="J95" s="713"/>
      <c r="K95" s="713"/>
    </row>
    <row r="96" spans="1:11">
      <c r="A96" s="711">
        <v>9</v>
      </c>
      <c r="B96" s="712" t="s">
        <v>204</v>
      </c>
      <c r="C96" s="713"/>
      <c r="D96" s="713"/>
      <c r="E96" s="713">
        <v>0</v>
      </c>
      <c r="F96" s="709">
        <v>0</v>
      </c>
      <c r="G96" s="709">
        <v>0</v>
      </c>
      <c r="H96" s="709">
        <v>0</v>
      </c>
      <c r="I96" s="709">
        <v>0</v>
      </c>
      <c r="J96" s="713"/>
      <c r="K96" s="713"/>
    </row>
    <row r="97" spans="1:11">
      <c r="A97" s="707" t="s">
        <v>13</v>
      </c>
      <c r="B97" s="708" t="s">
        <v>217</v>
      </c>
      <c r="C97" s="713"/>
      <c r="D97" s="713"/>
      <c r="E97" s="713">
        <v>0</v>
      </c>
      <c r="F97" s="709">
        <v>0</v>
      </c>
      <c r="G97" s="709">
        <v>0</v>
      </c>
      <c r="H97" s="709">
        <v>0</v>
      </c>
      <c r="I97" s="709">
        <v>0</v>
      </c>
      <c r="J97" s="713"/>
      <c r="K97" s="713"/>
    </row>
    <row r="98" spans="1:11" ht="13.5">
      <c r="A98" s="707" t="s">
        <v>15</v>
      </c>
      <c r="B98" s="718" t="s">
        <v>218</v>
      </c>
      <c r="C98" s="713"/>
      <c r="D98" s="713"/>
      <c r="E98" s="713">
        <v>0</v>
      </c>
      <c r="F98" s="709">
        <v>0</v>
      </c>
      <c r="G98" s="709">
        <v>0</v>
      </c>
      <c r="H98" s="709">
        <v>0</v>
      </c>
      <c r="I98" s="709">
        <v>0</v>
      </c>
      <c r="J98" s="713"/>
      <c r="K98" s="713"/>
    </row>
    <row r="99" spans="1:11" ht="26">
      <c r="A99" s="711">
        <v>1</v>
      </c>
      <c r="B99" s="712" t="s">
        <v>219</v>
      </c>
      <c r="C99" s="713"/>
      <c r="D99" s="713"/>
      <c r="E99" s="713">
        <v>0</v>
      </c>
      <c r="F99" s="709">
        <v>0</v>
      </c>
      <c r="G99" s="709">
        <v>0</v>
      </c>
      <c r="H99" s="709">
        <v>0</v>
      </c>
      <c r="I99" s="709">
        <v>0</v>
      </c>
      <c r="J99" s="713"/>
      <c r="K99" s="713"/>
    </row>
    <row r="100" spans="1:11">
      <c r="A100" s="711">
        <v>2</v>
      </c>
      <c r="B100" s="712" t="s">
        <v>220</v>
      </c>
      <c r="C100" s="713"/>
      <c r="D100" s="713"/>
      <c r="E100" s="713">
        <v>0</v>
      </c>
      <c r="F100" s="709">
        <v>0</v>
      </c>
      <c r="G100" s="709">
        <v>0</v>
      </c>
      <c r="H100" s="709">
        <v>0</v>
      </c>
      <c r="I100" s="709">
        <v>0</v>
      </c>
      <c r="J100" s="713"/>
      <c r="K100" s="713"/>
    </row>
    <row r="101" spans="1:11" ht="26">
      <c r="A101" s="707" t="s">
        <v>16</v>
      </c>
      <c r="B101" s="708" t="s">
        <v>221</v>
      </c>
      <c r="C101" s="713"/>
      <c r="D101" s="713"/>
      <c r="E101" s="713">
        <v>0</v>
      </c>
      <c r="F101" s="709">
        <v>0</v>
      </c>
      <c r="G101" s="709">
        <v>0</v>
      </c>
      <c r="H101" s="709">
        <v>0</v>
      </c>
      <c r="I101" s="709">
        <v>0</v>
      </c>
      <c r="J101" s="713"/>
      <c r="K101" s="713"/>
    </row>
    <row r="102" spans="1:11" ht="27">
      <c r="A102" s="717">
        <v>1</v>
      </c>
      <c r="B102" s="718" t="s">
        <v>222</v>
      </c>
      <c r="C102" s="713"/>
      <c r="D102" s="713"/>
      <c r="E102" s="713">
        <v>0</v>
      </c>
      <c r="F102" s="709">
        <v>0</v>
      </c>
      <c r="G102" s="709">
        <v>0</v>
      </c>
      <c r="H102" s="709">
        <v>0</v>
      </c>
      <c r="I102" s="709">
        <v>0</v>
      </c>
      <c r="J102" s="713"/>
      <c r="K102" s="713"/>
    </row>
    <row r="103" spans="1:11" ht="27">
      <c r="A103" s="717">
        <v>2</v>
      </c>
      <c r="B103" s="718" t="s">
        <v>223</v>
      </c>
      <c r="C103" s="713"/>
      <c r="D103" s="713"/>
      <c r="E103" s="713">
        <v>0</v>
      </c>
      <c r="F103" s="709">
        <v>0</v>
      </c>
      <c r="G103" s="709">
        <v>0</v>
      </c>
      <c r="H103" s="709">
        <v>0</v>
      </c>
      <c r="I103" s="709">
        <v>0</v>
      </c>
      <c r="J103" s="713"/>
      <c r="K103" s="713"/>
    </row>
    <row r="104" spans="1:11">
      <c r="A104" s="711" t="s">
        <v>224</v>
      </c>
      <c r="B104" s="712" t="s">
        <v>225</v>
      </c>
      <c r="C104" s="713"/>
      <c r="D104" s="713"/>
      <c r="E104" s="713">
        <v>0</v>
      </c>
      <c r="F104" s="709">
        <v>0</v>
      </c>
      <c r="G104" s="709">
        <v>0</v>
      </c>
      <c r="H104" s="709">
        <v>0</v>
      </c>
      <c r="I104" s="709">
        <v>0</v>
      </c>
      <c r="J104" s="713"/>
      <c r="K104" s="713"/>
    </row>
    <row r="105" spans="1:11">
      <c r="A105" s="711" t="s">
        <v>226</v>
      </c>
      <c r="B105" s="712" t="s">
        <v>227</v>
      </c>
      <c r="C105" s="713"/>
      <c r="D105" s="713"/>
      <c r="E105" s="713">
        <v>0</v>
      </c>
      <c r="F105" s="709">
        <v>0</v>
      </c>
      <c r="G105" s="709">
        <v>0</v>
      </c>
      <c r="H105" s="709">
        <v>0</v>
      </c>
      <c r="I105" s="709">
        <v>0</v>
      </c>
      <c r="J105" s="713"/>
      <c r="K105" s="713"/>
    </row>
    <row r="106" spans="1:11" ht="13.5">
      <c r="A106" s="717">
        <v>3</v>
      </c>
      <c r="B106" s="718" t="s">
        <v>228</v>
      </c>
      <c r="C106" s="713"/>
      <c r="D106" s="713"/>
      <c r="E106" s="713">
        <v>0</v>
      </c>
      <c r="F106" s="709">
        <v>0</v>
      </c>
      <c r="G106" s="709">
        <v>0</v>
      </c>
      <c r="H106" s="709">
        <v>0</v>
      </c>
      <c r="I106" s="709">
        <v>0</v>
      </c>
      <c r="J106" s="713"/>
      <c r="K106" s="713"/>
    </row>
    <row r="107" spans="1:11" ht="26">
      <c r="A107" s="707" t="s">
        <v>11</v>
      </c>
      <c r="B107" s="708" t="s">
        <v>229</v>
      </c>
      <c r="C107" s="713"/>
      <c r="D107" s="713"/>
      <c r="E107" s="713">
        <v>0</v>
      </c>
      <c r="F107" s="709">
        <v>0</v>
      </c>
      <c r="G107" s="709">
        <v>0</v>
      </c>
      <c r="H107" s="709">
        <v>0</v>
      </c>
      <c r="I107" s="709">
        <v>0</v>
      </c>
      <c r="J107" s="713"/>
      <c r="K107" s="713"/>
    </row>
    <row r="108" spans="1:11">
      <c r="A108" s="707" t="s">
        <v>8</v>
      </c>
      <c r="B108" s="708" t="s">
        <v>230</v>
      </c>
      <c r="C108" s="713"/>
      <c r="D108" s="713"/>
      <c r="E108" s="713">
        <v>0</v>
      </c>
      <c r="F108" s="709">
        <v>0</v>
      </c>
      <c r="G108" s="709">
        <v>0</v>
      </c>
      <c r="H108" s="709">
        <v>0</v>
      </c>
      <c r="I108" s="709">
        <v>0</v>
      </c>
      <c r="J108" s="713"/>
      <c r="K108" s="713"/>
    </row>
    <row r="109" spans="1:11">
      <c r="A109" s="711">
        <v>1</v>
      </c>
      <c r="B109" s="712" t="s">
        <v>231</v>
      </c>
      <c r="C109" s="713"/>
      <c r="D109" s="713"/>
      <c r="E109" s="713">
        <v>0</v>
      </c>
      <c r="F109" s="709">
        <v>0</v>
      </c>
      <c r="G109" s="709">
        <v>0</v>
      </c>
      <c r="H109" s="709">
        <v>0</v>
      </c>
      <c r="I109" s="709">
        <v>0</v>
      </c>
      <c r="J109" s="713"/>
      <c r="K109" s="713"/>
    </row>
    <row r="110" spans="1:11" ht="26">
      <c r="A110" s="711">
        <v>2</v>
      </c>
      <c r="B110" s="712" t="s">
        <v>232</v>
      </c>
      <c r="C110" s="713"/>
      <c r="D110" s="713"/>
      <c r="E110" s="713">
        <v>0</v>
      </c>
      <c r="F110" s="709">
        <v>0</v>
      </c>
      <c r="G110" s="709">
        <v>0</v>
      </c>
      <c r="H110" s="709">
        <v>0</v>
      </c>
      <c r="I110" s="709">
        <v>0</v>
      </c>
      <c r="J110" s="713"/>
      <c r="K110" s="713"/>
    </row>
    <row r="111" spans="1:11">
      <c r="A111" s="707" t="s">
        <v>9</v>
      </c>
      <c r="B111" s="708" t="s">
        <v>233</v>
      </c>
      <c r="C111" s="713"/>
      <c r="D111" s="713"/>
      <c r="E111" s="713">
        <v>0</v>
      </c>
      <c r="F111" s="709">
        <v>0</v>
      </c>
      <c r="G111" s="709">
        <v>0</v>
      </c>
      <c r="H111" s="709">
        <v>0</v>
      </c>
      <c r="I111" s="709">
        <v>0</v>
      </c>
      <c r="J111" s="713"/>
      <c r="K111" s="713"/>
    </row>
    <row r="112" spans="1:11">
      <c r="A112" s="711">
        <v>1</v>
      </c>
      <c r="B112" s="712" t="s">
        <v>231</v>
      </c>
      <c r="C112" s="713"/>
      <c r="D112" s="713"/>
      <c r="E112" s="713">
        <v>0</v>
      </c>
      <c r="F112" s="709">
        <v>0</v>
      </c>
      <c r="G112" s="709">
        <v>0</v>
      </c>
      <c r="H112" s="709">
        <v>0</v>
      </c>
      <c r="I112" s="709">
        <v>0</v>
      </c>
      <c r="J112" s="713"/>
      <c r="K112" s="713"/>
    </row>
    <row r="113" spans="1:36" ht="26">
      <c r="A113" s="711">
        <v>2</v>
      </c>
      <c r="B113" s="712" t="s">
        <v>232</v>
      </c>
      <c r="C113" s="713"/>
      <c r="D113" s="713"/>
      <c r="E113" s="713">
        <v>0</v>
      </c>
      <c r="F113" s="709">
        <v>0</v>
      </c>
      <c r="G113" s="709">
        <v>0</v>
      </c>
      <c r="H113" s="709">
        <v>0</v>
      </c>
      <c r="I113" s="709">
        <v>0</v>
      </c>
      <c r="J113" s="713"/>
      <c r="K113" s="713"/>
    </row>
    <row r="114" spans="1:36" s="705" customFormat="1">
      <c r="A114" s="707" t="s">
        <v>18</v>
      </c>
      <c r="B114" s="708" t="s">
        <v>234</v>
      </c>
      <c r="C114" s="709">
        <v>266605000000</v>
      </c>
      <c r="D114" s="709">
        <v>266605000000</v>
      </c>
      <c r="E114" s="709">
        <v>332384684641</v>
      </c>
      <c r="F114" s="709">
        <v>0</v>
      </c>
      <c r="G114" s="709">
        <v>179714278</v>
      </c>
      <c r="H114" s="709">
        <v>264168143363</v>
      </c>
      <c r="I114" s="709">
        <v>68036826999.999992</v>
      </c>
      <c r="J114" s="709">
        <f>+E114/C114%</f>
        <v>124.67308739183436</v>
      </c>
      <c r="K114" s="709">
        <f>+E114/D114%</f>
        <v>124.67308739183436</v>
      </c>
      <c r="AB114" s="706"/>
      <c r="AC114" s="706"/>
      <c r="AD114" s="706"/>
      <c r="AE114" s="706"/>
      <c r="AF114" s="706"/>
      <c r="AG114" s="706"/>
      <c r="AH114" s="706"/>
      <c r="AI114" s="706"/>
      <c r="AJ114" s="706"/>
    </row>
    <row r="115" spans="1:36" s="705" customFormat="1">
      <c r="A115" s="707" t="s">
        <v>8</v>
      </c>
      <c r="B115" s="708" t="s">
        <v>235</v>
      </c>
      <c r="C115" s="709">
        <v>266605000000</v>
      </c>
      <c r="D115" s="709">
        <v>266605000000</v>
      </c>
      <c r="E115" s="709">
        <v>332204970363</v>
      </c>
      <c r="F115" s="709">
        <v>0</v>
      </c>
      <c r="G115" s="709">
        <v>0</v>
      </c>
      <c r="H115" s="709">
        <v>264168143363</v>
      </c>
      <c r="I115" s="709">
        <v>68036826999.999992</v>
      </c>
      <c r="J115" s="709">
        <f>+E115/C115%</f>
        <v>124.60567894938204</v>
      </c>
      <c r="K115" s="709">
        <f>+E115/D115%</f>
        <v>124.60567894938204</v>
      </c>
      <c r="AB115" s="706"/>
      <c r="AC115" s="706"/>
      <c r="AD115" s="706"/>
      <c r="AE115" s="706"/>
      <c r="AF115" s="706"/>
      <c r="AG115" s="706"/>
      <c r="AH115" s="706"/>
      <c r="AI115" s="706"/>
      <c r="AJ115" s="706"/>
    </row>
    <row r="116" spans="1:36" s="720" customFormat="1" ht="13.5">
      <c r="A116" s="717" t="s">
        <v>236</v>
      </c>
      <c r="B116" s="718" t="s">
        <v>237</v>
      </c>
      <c r="C116" s="719">
        <v>101233000000</v>
      </c>
      <c r="D116" s="719">
        <v>101233000000</v>
      </c>
      <c r="E116" s="719">
        <v>127061112900</v>
      </c>
      <c r="F116" s="719">
        <v>0</v>
      </c>
      <c r="G116" s="713">
        <v>0</v>
      </c>
      <c r="H116" s="713">
        <v>100757760900</v>
      </c>
      <c r="I116" s="713">
        <v>26303352000</v>
      </c>
      <c r="J116" s="719">
        <f>+E116/C116%</f>
        <v>125.51353106200547</v>
      </c>
      <c r="K116" s="719">
        <f>+E116/D116%</f>
        <v>125.51353106200547</v>
      </c>
      <c r="AB116" s="721"/>
      <c r="AC116" s="721"/>
      <c r="AD116" s="721"/>
      <c r="AE116" s="721"/>
      <c r="AF116" s="721"/>
      <c r="AG116" s="721"/>
      <c r="AH116" s="721"/>
      <c r="AI116" s="721"/>
      <c r="AJ116" s="721"/>
    </row>
    <row r="117" spans="1:36" s="720" customFormat="1" ht="13.5">
      <c r="A117" s="717" t="s">
        <v>238</v>
      </c>
      <c r="B117" s="718" t="s">
        <v>31</v>
      </c>
      <c r="C117" s="719">
        <v>165372000000</v>
      </c>
      <c r="D117" s="719">
        <v>165372000000</v>
      </c>
      <c r="E117" s="719">
        <v>205143857463</v>
      </c>
      <c r="F117" s="719">
        <v>0</v>
      </c>
      <c r="G117" s="719">
        <v>0</v>
      </c>
      <c r="H117" s="719">
        <v>163410382463</v>
      </c>
      <c r="I117" s="719">
        <v>41733475000</v>
      </c>
      <c r="J117" s="719">
        <f>+E117/C117%</f>
        <v>124.04993436797039</v>
      </c>
      <c r="K117" s="719">
        <f>+E117/D117%</f>
        <v>124.04993436797039</v>
      </c>
      <c r="AB117" s="721"/>
      <c r="AC117" s="721"/>
      <c r="AD117" s="721"/>
      <c r="AE117" s="721"/>
      <c r="AF117" s="721"/>
      <c r="AG117" s="721"/>
      <c r="AH117" s="721"/>
      <c r="AI117" s="721"/>
      <c r="AJ117" s="721"/>
    </row>
    <row r="118" spans="1:36" ht="26">
      <c r="A118" s="722" t="s">
        <v>224</v>
      </c>
      <c r="B118" s="714" t="s">
        <v>239</v>
      </c>
      <c r="C118" s="713">
        <v>165372000000</v>
      </c>
      <c r="D118" s="713">
        <v>165372000000</v>
      </c>
      <c r="E118" s="713">
        <v>205143857463</v>
      </c>
      <c r="F118" s="713">
        <v>0</v>
      </c>
      <c r="G118" s="713">
        <v>0</v>
      </c>
      <c r="H118" s="713">
        <v>163410382463</v>
      </c>
      <c r="I118" s="713">
        <v>41733475000</v>
      </c>
      <c r="J118" s="713">
        <f>+E118/C118%</f>
        <v>124.04993436797039</v>
      </c>
      <c r="K118" s="713">
        <f>+E118/D118%</f>
        <v>124.04993436797039</v>
      </c>
      <c r="AB118" s="688">
        <v>175672898000</v>
      </c>
    </row>
    <row r="119" spans="1:36" ht="26">
      <c r="A119" s="722" t="s">
        <v>226</v>
      </c>
      <c r="B119" s="714" t="s">
        <v>240</v>
      </c>
      <c r="C119" s="713"/>
      <c r="D119" s="713"/>
      <c r="E119" s="713">
        <v>0</v>
      </c>
      <c r="F119" s="713">
        <v>0</v>
      </c>
      <c r="G119" s="713">
        <v>0</v>
      </c>
      <c r="H119" s="713">
        <v>0</v>
      </c>
      <c r="I119" s="713">
        <v>0</v>
      </c>
      <c r="J119" s="713"/>
      <c r="K119" s="713"/>
      <c r="AB119" s="688">
        <v>46156474000</v>
      </c>
    </row>
    <row r="120" spans="1:36" s="705" customFormat="1">
      <c r="A120" s="707" t="s">
        <v>9</v>
      </c>
      <c r="B120" s="708" t="s">
        <v>241</v>
      </c>
      <c r="C120" s="709"/>
      <c r="D120" s="709"/>
      <c r="E120" s="709">
        <v>179714278</v>
      </c>
      <c r="F120" s="709">
        <v>0</v>
      </c>
      <c r="G120" s="709">
        <v>179714278</v>
      </c>
      <c r="H120" s="709">
        <v>0</v>
      </c>
      <c r="I120" s="709">
        <v>0</v>
      </c>
      <c r="J120" s="709"/>
      <c r="K120" s="709"/>
      <c r="AB120" s="710">
        <f>+AB119-I118</f>
        <v>4422999000</v>
      </c>
      <c r="AC120" s="706"/>
      <c r="AD120" s="706"/>
      <c r="AE120" s="706"/>
      <c r="AF120" s="706"/>
      <c r="AG120" s="706"/>
      <c r="AH120" s="706"/>
      <c r="AI120" s="706"/>
      <c r="AJ120" s="706"/>
    </row>
    <row r="121" spans="1:36" s="705" customFormat="1">
      <c r="A121" s="707" t="s">
        <v>242</v>
      </c>
      <c r="B121" s="708" t="s">
        <v>243</v>
      </c>
      <c r="C121" s="709"/>
      <c r="D121" s="709"/>
      <c r="E121" s="709">
        <v>184075248070</v>
      </c>
      <c r="F121" s="709">
        <v>0</v>
      </c>
      <c r="G121" s="709">
        <v>0</v>
      </c>
      <c r="H121" s="709">
        <v>146597254154</v>
      </c>
      <c r="I121" s="709">
        <v>37477993916</v>
      </c>
      <c r="J121" s="709"/>
      <c r="K121" s="709"/>
      <c r="AB121" s="706"/>
      <c r="AC121" s="706"/>
      <c r="AD121" s="706"/>
      <c r="AE121" s="706"/>
      <c r="AF121" s="706"/>
      <c r="AG121" s="706"/>
      <c r="AH121" s="706"/>
      <c r="AI121" s="706"/>
      <c r="AJ121" s="706"/>
    </row>
    <row r="122" spans="1:36" s="705" customFormat="1">
      <c r="A122" s="707" t="s">
        <v>244</v>
      </c>
      <c r="B122" s="708" t="s">
        <v>245</v>
      </c>
      <c r="C122" s="709"/>
      <c r="D122" s="709"/>
      <c r="E122" s="709">
        <v>1951167668</v>
      </c>
      <c r="F122" s="709">
        <v>0</v>
      </c>
      <c r="G122" s="709">
        <v>0</v>
      </c>
      <c r="H122" s="709">
        <v>1661590717</v>
      </c>
      <c r="I122" s="709">
        <v>289576951</v>
      </c>
      <c r="J122" s="709"/>
      <c r="K122" s="709"/>
      <c r="AB122" s="706"/>
      <c r="AC122" s="706"/>
      <c r="AD122" s="706"/>
      <c r="AE122" s="706"/>
      <c r="AF122" s="706"/>
      <c r="AG122" s="706"/>
      <c r="AH122" s="706"/>
      <c r="AI122" s="706"/>
      <c r="AJ122" s="706"/>
    </row>
    <row r="123" spans="1:36" s="705" customFormat="1" ht="26">
      <c r="A123" s="723" t="s">
        <v>339</v>
      </c>
      <c r="B123" s="724" t="s">
        <v>340</v>
      </c>
      <c r="C123" s="725"/>
      <c r="D123" s="725"/>
      <c r="E123" s="725">
        <v>0</v>
      </c>
      <c r="F123" s="725"/>
      <c r="G123" s="725"/>
      <c r="H123" s="725"/>
      <c r="I123" s="725"/>
      <c r="J123" s="725"/>
      <c r="K123" s="725"/>
      <c r="AB123" s="706"/>
      <c r="AC123" s="706"/>
      <c r="AD123" s="706"/>
      <c r="AE123" s="706"/>
      <c r="AF123" s="706"/>
      <c r="AG123" s="706"/>
      <c r="AH123" s="706"/>
      <c r="AI123" s="706"/>
      <c r="AJ123" s="706"/>
    </row>
    <row r="125" spans="1:36">
      <c r="B125" s="726"/>
      <c r="C125" s="726"/>
      <c r="D125" s="685"/>
      <c r="E125" s="727"/>
      <c r="F125" s="727"/>
      <c r="G125" s="727"/>
      <c r="H125" s="726"/>
      <c r="I125" s="726"/>
      <c r="J125" s="726"/>
      <c r="K125" s="726"/>
    </row>
    <row r="126" spans="1:36">
      <c r="B126" s="690"/>
      <c r="C126" s="690"/>
      <c r="D126" s="728"/>
      <c r="E126" s="690"/>
      <c r="F126" s="690"/>
      <c r="G126" s="690"/>
      <c r="H126" s="729"/>
      <c r="I126" s="729"/>
      <c r="J126" s="729"/>
      <c r="K126" s="729"/>
    </row>
    <row r="127" spans="1:36">
      <c r="B127" s="690"/>
      <c r="C127" s="690"/>
      <c r="D127" s="728"/>
      <c r="E127" s="727"/>
      <c r="F127" s="727"/>
      <c r="G127" s="727"/>
      <c r="H127" s="726"/>
      <c r="I127" s="726"/>
      <c r="J127" s="726"/>
      <c r="K127" s="726"/>
    </row>
    <row r="128" spans="1:36">
      <c r="K128" s="686"/>
    </row>
    <row r="130" spans="1:5">
      <c r="B130" s="730"/>
      <c r="D130" s="685"/>
    </row>
    <row r="131" spans="1:5">
      <c r="B131" s="690"/>
      <c r="C131" s="690"/>
      <c r="D131" s="690"/>
      <c r="E131" s="731"/>
    </row>
    <row r="132" spans="1:5">
      <c r="B132" s="690"/>
      <c r="C132" s="690"/>
      <c r="D132" s="690"/>
      <c r="E132" s="732"/>
    </row>
    <row r="133" spans="1:5">
      <c r="E133" s="731"/>
    </row>
    <row r="138" spans="1:5">
      <c r="A138" s="733"/>
    </row>
  </sheetData>
  <mergeCells count="19">
    <mergeCell ref="B127:C127"/>
    <mergeCell ref="E127:G127"/>
    <mergeCell ref="H127:K127"/>
    <mergeCell ref="B131:D131"/>
    <mergeCell ref="B132:D132"/>
    <mergeCell ref="H126:K126"/>
    <mergeCell ref="A3:K3"/>
    <mergeCell ref="A4:K4"/>
    <mergeCell ref="A6:A7"/>
    <mergeCell ref="B6:B7"/>
    <mergeCell ref="C6:D6"/>
    <mergeCell ref="E6:E7"/>
    <mergeCell ref="F6:I6"/>
    <mergeCell ref="J6:K6"/>
    <mergeCell ref="B125:C125"/>
    <mergeCell ref="E125:G125"/>
    <mergeCell ref="H125:K125"/>
    <mergeCell ref="B126:C126"/>
    <mergeCell ref="E126:G126"/>
  </mergeCells>
  <pageMargins left="0.78740157480314965" right="0.78740157480314965" top="0.78740157480314965" bottom="0.78740157480314965" header="0.31496062992125984" footer="0.31496062992125984"/>
  <pageSetup scale="68" fitToHeight="0" orientation="landscape" blackAndWhite="1"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41"/>
  <sheetViews>
    <sheetView workbookViewId="0">
      <selection activeCell="A3" sqref="A3:K3"/>
    </sheetView>
  </sheetViews>
  <sheetFormatPr defaultColWidth="9.1796875" defaultRowHeight="13"/>
  <cols>
    <col min="1" max="1" width="5.453125" style="47" customWidth="1"/>
    <col min="2" max="2" width="31.26953125" style="47" customWidth="1"/>
    <col min="3" max="3" width="17.81640625" style="128" customWidth="1"/>
    <col min="4" max="4" width="16.7265625" style="128" customWidth="1"/>
    <col min="5" max="5" width="18.1796875" style="128" customWidth="1"/>
    <col min="6" max="6" width="15.54296875" style="128" customWidth="1"/>
    <col min="7" max="7" width="17.26953125" style="128" customWidth="1"/>
    <col min="8" max="8" width="17.453125" style="128" customWidth="1"/>
    <col min="9" max="9" width="16.1796875" style="128" customWidth="1"/>
    <col min="10" max="10" width="9" style="128" customWidth="1"/>
    <col min="11" max="11" width="9.81640625" style="47" customWidth="1"/>
    <col min="12" max="12" width="14.54296875" style="47" hidden="1" customWidth="1"/>
    <col min="13" max="16384" width="9.1796875" style="47"/>
  </cols>
  <sheetData>
    <row r="1" spans="1:12">
      <c r="A1" s="46" t="s">
        <v>125</v>
      </c>
      <c r="I1" s="129" t="s">
        <v>246</v>
      </c>
    </row>
    <row r="2" spans="1:12">
      <c r="A2" s="46"/>
      <c r="I2" s="129"/>
    </row>
    <row r="3" spans="1:12">
      <c r="A3" s="499" t="s">
        <v>363</v>
      </c>
      <c r="B3" s="499"/>
      <c r="C3" s="499"/>
      <c r="D3" s="499"/>
      <c r="E3" s="499"/>
      <c r="F3" s="499"/>
      <c r="G3" s="499"/>
      <c r="H3" s="499"/>
      <c r="I3" s="499"/>
      <c r="J3" s="499"/>
      <c r="K3" s="499"/>
    </row>
    <row r="4" spans="1:12">
      <c r="A4" s="500" t="str">
        <f>+'49_'!A7:E7</f>
        <v>(Kèm theo Nghị quyết số     /NQ-HĐND ngày     tháng    năm 2025 của 
Hội đồng nhân dân huyện Ia H'Drai)</v>
      </c>
      <c r="B4" s="500"/>
      <c r="C4" s="500"/>
      <c r="D4" s="500"/>
      <c r="E4" s="500"/>
      <c r="F4" s="500"/>
      <c r="G4" s="500"/>
      <c r="H4" s="500"/>
      <c r="I4" s="500"/>
      <c r="J4" s="500"/>
      <c r="K4" s="500"/>
    </row>
    <row r="5" spans="1:12">
      <c r="A5" s="500"/>
      <c r="B5" s="500"/>
      <c r="C5" s="500"/>
      <c r="D5" s="500"/>
      <c r="E5" s="500"/>
      <c r="F5" s="500"/>
      <c r="G5" s="500"/>
      <c r="H5" s="500"/>
      <c r="I5" s="500"/>
      <c r="J5" s="500"/>
      <c r="K5" s="500"/>
    </row>
    <row r="6" spans="1:12">
      <c r="A6" s="125"/>
      <c r="B6" s="125"/>
      <c r="C6" s="125"/>
      <c r="D6" s="125"/>
      <c r="E6" s="125"/>
      <c r="F6" s="125"/>
      <c r="G6" s="125"/>
      <c r="H6" s="125"/>
      <c r="I6" s="125"/>
      <c r="J6" s="125"/>
      <c r="K6" s="125"/>
    </row>
    <row r="7" spans="1:12">
      <c r="K7" s="48" t="s">
        <v>122</v>
      </c>
      <c r="L7" s="49">
        <f>11408499254-G11</f>
        <v>-44762390369</v>
      </c>
    </row>
    <row r="8" spans="1:12" ht="30.75" customHeight="1">
      <c r="A8" s="501" t="s">
        <v>7</v>
      </c>
      <c r="B8" s="501" t="s">
        <v>36</v>
      </c>
      <c r="C8" s="504" t="s">
        <v>126</v>
      </c>
      <c r="D8" s="504"/>
      <c r="E8" s="504" t="s">
        <v>127</v>
      </c>
      <c r="F8" s="504" t="s">
        <v>128</v>
      </c>
      <c r="G8" s="504"/>
      <c r="H8" s="504"/>
      <c r="I8" s="504"/>
      <c r="J8" s="501" t="s">
        <v>21</v>
      </c>
      <c r="K8" s="501"/>
    </row>
    <row r="9" spans="1:12" ht="52.5" customHeight="1">
      <c r="A9" s="501"/>
      <c r="B9" s="501"/>
      <c r="C9" s="130" t="s">
        <v>129</v>
      </c>
      <c r="D9" s="130" t="s">
        <v>130</v>
      </c>
      <c r="E9" s="504"/>
      <c r="F9" s="130" t="s">
        <v>131</v>
      </c>
      <c r="G9" s="130" t="s">
        <v>132</v>
      </c>
      <c r="H9" s="130" t="s">
        <v>133</v>
      </c>
      <c r="I9" s="130" t="s">
        <v>134</v>
      </c>
      <c r="J9" s="130" t="s">
        <v>129</v>
      </c>
      <c r="K9" s="126" t="s">
        <v>130</v>
      </c>
    </row>
    <row r="10" spans="1:12" s="132" customFormat="1" ht="39">
      <c r="A10" s="50" t="s">
        <v>10</v>
      </c>
      <c r="B10" s="50" t="s">
        <v>11</v>
      </c>
      <c r="C10" s="131">
        <v>1</v>
      </c>
      <c r="D10" s="131">
        <v>2</v>
      </c>
      <c r="E10" s="131" t="s">
        <v>135</v>
      </c>
      <c r="F10" s="131">
        <v>4</v>
      </c>
      <c r="G10" s="131">
        <v>5</v>
      </c>
      <c r="H10" s="131">
        <v>6</v>
      </c>
      <c r="I10" s="131">
        <v>7</v>
      </c>
      <c r="J10" s="131" t="s">
        <v>136</v>
      </c>
      <c r="K10" s="50" t="s">
        <v>137</v>
      </c>
    </row>
    <row r="11" spans="1:12" s="51" customFormat="1">
      <c r="A11" s="52"/>
      <c r="B11" s="52" t="s">
        <v>338</v>
      </c>
      <c r="C11" s="133">
        <f>+C12+C110+C117+C124+C126</f>
        <v>126079000000</v>
      </c>
      <c r="D11" s="133">
        <f t="shared" ref="D11:I11" si="0">+D12+D110+D117+D124+D126+D125</f>
        <v>158440000000</v>
      </c>
      <c r="E11" s="133">
        <f t="shared" si="0"/>
        <v>297608198198</v>
      </c>
      <c r="F11" s="133">
        <f t="shared" si="0"/>
        <v>1409528763</v>
      </c>
      <c r="G11" s="133">
        <f t="shared" si="0"/>
        <v>56170889623</v>
      </c>
      <c r="H11" s="133">
        <f t="shared" si="0"/>
        <v>214787889661</v>
      </c>
      <c r="I11" s="133">
        <f t="shared" si="0"/>
        <v>25239890151</v>
      </c>
      <c r="J11" s="133">
        <f>+E11/C11%</f>
        <v>236.04898373083543</v>
      </c>
      <c r="K11" s="133">
        <f>+E11/D11%</f>
        <v>187.83653004165615</v>
      </c>
    </row>
    <row r="12" spans="1:12" s="51" customFormat="1">
      <c r="A12" s="53" t="s">
        <v>10</v>
      </c>
      <c r="B12" s="54" t="s">
        <v>138</v>
      </c>
      <c r="C12" s="134">
        <f>+C13+C21+C27+C39+C46+C47+C48+C49+C50+C53+C57+C60+C61+C64+C67+C70+C71+C73+C76+C77+C78</f>
        <v>39280000000</v>
      </c>
      <c r="D12" s="134">
        <f t="shared" ref="D12:I12" si="1">+D13+D21+D27+D39+D46+D47+D48+D49+D50+D53+D57+D60+D61+D64+D67+D70+D71+D73+D76+D77+D78</f>
        <v>71641000000</v>
      </c>
      <c r="E12" s="134">
        <f t="shared" si="1"/>
        <v>92908231140</v>
      </c>
      <c r="F12" s="134">
        <f t="shared" si="1"/>
        <v>1409528763</v>
      </c>
      <c r="G12" s="134">
        <f t="shared" si="1"/>
        <v>49613623109</v>
      </c>
      <c r="H12" s="134">
        <f t="shared" si="1"/>
        <v>40030352019</v>
      </c>
      <c r="I12" s="134">
        <f t="shared" si="1"/>
        <v>1854727249</v>
      </c>
      <c r="J12" s="134">
        <f>+E12/C12%</f>
        <v>236.52808335030551</v>
      </c>
      <c r="K12" s="134">
        <f>+E12/D12%</f>
        <v>129.68583791404365</v>
      </c>
    </row>
    <row r="13" spans="1:12" s="51" customFormat="1" ht="27" customHeight="1">
      <c r="A13" s="53">
        <v>1</v>
      </c>
      <c r="B13" s="54" t="s">
        <v>139</v>
      </c>
      <c r="C13" s="134">
        <f t="shared" ref="C13:I13" si="2">+C14+C16+C17+C19</f>
        <v>7610000000</v>
      </c>
      <c r="D13" s="134">
        <f t="shared" si="2"/>
        <v>7610000000</v>
      </c>
      <c r="E13" s="134">
        <f t="shared" si="2"/>
        <v>28273645634</v>
      </c>
      <c r="F13" s="134">
        <f t="shared" si="2"/>
        <v>0</v>
      </c>
      <c r="G13" s="134">
        <f t="shared" si="2"/>
        <v>26933859370</v>
      </c>
      <c r="H13" s="134">
        <f t="shared" si="2"/>
        <v>1339786264</v>
      </c>
      <c r="I13" s="134">
        <f t="shared" si="2"/>
        <v>0</v>
      </c>
      <c r="J13" s="134"/>
      <c r="K13" s="134"/>
    </row>
    <row r="14" spans="1:12">
      <c r="A14" s="55"/>
      <c r="B14" s="56" t="s">
        <v>140</v>
      </c>
      <c r="C14" s="135">
        <v>7610000000</v>
      </c>
      <c r="D14" s="135">
        <v>7610000000</v>
      </c>
      <c r="E14" s="135">
        <f>SUM(F14:I14)</f>
        <v>13397561583</v>
      </c>
      <c r="F14" s="135">
        <v>0</v>
      </c>
      <c r="G14" s="135">
        <v>12057805419</v>
      </c>
      <c r="H14" s="135">
        <v>1339756164</v>
      </c>
      <c r="I14" s="135">
        <v>0</v>
      </c>
      <c r="J14" s="135"/>
      <c r="K14" s="135"/>
      <c r="L14" s="47">
        <f>+E14/1000000</f>
        <v>13397.561583000001</v>
      </c>
    </row>
    <row r="15" spans="1:12" ht="26">
      <c r="A15" s="55"/>
      <c r="B15" s="57" t="s">
        <v>141</v>
      </c>
      <c r="C15" s="135"/>
      <c r="D15" s="135"/>
      <c r="E15" s="135">
        <f t="shared" ref="E15:E79" si="3">SUM(F15:I15)</f>
        <v>0</v>
      </c>
      <c r="F15" s="135">
        <v>0</v>
      </c>
      <c r="G15" s="135">
        <v>0</v>
      </c>
      <c r="H15" s="135">
        <v>0</v>
      </c>
      <c r="I15" s="135">
        <v>0</v>
      </c>
      <c r="J15" s="135"/>
      <c r="K15" s="135"/>
      <c r="L15" s="47">
        <f>+H14/1000000</f>
        <v>1339.7561639999999</v>
      </c>
    </row>
    <row r="16" spans="1:12">
      <c r="A16" s="55"/>
      <c r="B16" s="56" t="s">
        <v>142</v>
      </c>
      <c r="C16" s="135"/>
      <c r="D16" s="135"/>
      <c r="E16" s="135">
        <f>SUM(F16:I16)</f>
        <v>301000</v>
      </c>
      <c r="F16" s="135">
        <v>0</v>
      </c>
      <c r="G16" s="135">
        <v>270900</v>
      </c>
      <c r="H16" s="135">
        <v>30100</v>
      </c>
      <c r="I16" s="135">
        <v>0</v>
      </c>
      <c r="J16" s="135"/>
      <c r="K16" s="135"/>
    </row>
    <row r="17" spans="1:12">
      <c r="A17" s="55"/>
      <c r="B17" s="56" t="s">
        <v>143</v>
      </c>
      <c r="C17" s="135"/>
      <c r="D17" s="135"/>
      <c r="E17" s="135">
        <f t="shared" si="3"/>
        <v>0</v>
      </c>
      <c r="F17" s="135">
        <v>0</v>
      </c>
      <c r="G17" s="135">
        <v>0</v>
      </c>
      <c r="H17" s="135">
        <v>0</v>
      </c>
      <c r="I17" s="135">
        <v>0</v>
      </c>
      <c r="J17" s="135"/>
      <c r="K17" s="135"/>
    </row>
    <row r="18" spans="1:12" ht="39">
      <c r="A18" s="55"/>
      <c r="B18" s="57" t="s">
        <v>144</v>
      </c>
      <c r="C18" s="135"/>
      <c r="D18" s="135"/>
      <c r="E18" s="135">
        <f t="shared" si="3"/>
        <v>0</v>
      </c>
      <c r="F18" s="135">
        <v>0</v>
      </c>
      <c r="G18" s="135">
        <v>0</v>
      </c>
      <c r="H18" s="135">
        <v>0</v>
      </c>
      <c r="I18" s="135">
        <v>0</v>
      </c>
      <c r="J18" s="135"/>
      <c r="K18" s="135"/>
    </row>
    <row r="19" spans="1:12">
      <c r="A19" s="55"/>
      <c r="B19" s="56" t="s">
        <v>194</v>
      </c>
      <c r="C19" s="135"/>
      <c r="D19" s="135"/>
      <c r="E19" s="135">
        <f t="shared" si="3"/>
        <v>14875783051</v>
      </c>
      <c r="F19" s="135">
        <v>0</v>
      </c>
      <c r="G19" s="135">
        <v>14875783051</v>
      </c>
      <c r="H19" s="135">
        <v>0</v>
      </c>
      <c r="I19" s="135">
        <v>0</v>
      </c>
      <c r="J19" s="135"/>
      <c r="K19" s="135"/>
    </row>
    <row r="20" spans="1:12">
      <c r="A20" s="55"/>
      <c r="B20" s="57" t="s">
        <v>146</v>
      </c>
      <c r="C20" s="135"/>
      <c r="D20" s="135"/>
      <c r="E20" s="135">
        <f t="shared" si="3"/>
        <v>0</v>
      </c>
      <c r="F20" s="135">
        <v>0</v>
      </c>
      <c r="G20" s="135">
        <v>0</v>
      </c>
      <c r="H20" s="135">
        <v>0</v>
      </c>
      <c r="I20" s="135">
        <v>0</v>
      </c>
      <c r="J20" s="135"/>
      <c r="K20" s="135"/>
    </row>
    <row r="21" spans="1:12" s="51" customFormat="1" ht="26">
      <c r="A21" s="53">
        <v>2</v>
      </c>
      <c r="B21" s="54" t="s">
        <v>147</v>
      </c>
      <c r="C21" s="134">
        <f>+C22+C23+C24+C26</f>
        <v>4020000000</v>
      </c>
      <c r="D21" s="134">
        <f t="shared" ref="D21:I21" si="4">+D22+D23+D24+D26</f>
        <v>4020000000</v>
      </c>
      <c r="E21" s="134">
        <f t="shared" si="3"/>
        <v>16133253620</v>
      </c>
      <c r="F21" s="134">
        <f t="shared" si="4"/>
        <v>0</v>
      </c>
      <c r="G21" s="134">
        <f t="shared" si="4"/>
        <v>14534409060</v>
      </c>
      <c r="H21" s="134">
        <f t="shared" si="4"/>
        <v>1598844560</v>
      </c>
      <c r="I21" s="134">
        <f t="shared" si="4"/>
        <v>0</v>
      </c>
      <c r="J21" s="134">
        <f>+E21/C21%</f>
        <v>401.32471691542287</v>
      </c>
      <c r="K21" s="134">
        <f>+E21/D21%</f>
        <v>401.32471691542287</v>
      </c>
    </row>
    <row r="22" spans="1:12">
      <c r="A22" s="55"/>
      <c r="B22" s="56" t="s">
        <v>140</v>
      </c>
      <c r="C22" s="135">
        <v>3820000000</v>
      </c>
      <c r="D22" s="135">
        <v>3820000000</v>
      </c>
      <c r="E22" s="135">
        <f t="shared" si="3"/>
        <v>13089987109</v>
      </c>
      <c r="F22" s="135">
        <v>0</v>
      </c>
      <c r="G22" s="135">
        <v>11780988385</v>
      </c>
      <c r="H22" s="135">
        <v>1308998724</v>
      </c>
      <c r="I22" s="135">
        <v>0</v>
      </c>
      <c r="J22" s="134">
        <f>+E22/C22%</f>
        <v>342.66981960732983</v>
      </c>
      <c r="K22" s="134">
        <f>+E22/D22%</f>
        <v>342.66981960732983</v>
      </c>
      <c r="L22" s="49">
        <f>+H22/E22%</f>
        <v>10.000000100076493</v>
      </c>
    </row>
    <row r="23" spans="1:12">
      <c r="A23" s="55"/>
      <c r="B23" s="56" t="s">
        <v>142</v>
      </c>
      <c r="C23" s="135">
        <v>100000000</v>
      </c>
      <c r="D23" s="135">
        <v>100000000</v>
      </c>
      <c r="E23" s="135">
        <f t="shared" si="3"/>
        <v>2898458123</v>
      </c>
      <c r="F23" s="135">
        <v>0</v>
      </c>
      <c r="G23" s="135">
        <v>2608612307</v>
      </c>
      <c r="H23" s="135">
        <v>289845816</v>
      </c>
      <c r="I23" s="135">
        <v>0</v>
      </c>
      <c r="J23" s="134">
        <f>+E23/C23%</f>
        <v>2898.4581229999999</v>
      </c>
      <c r="K23" s="134">
        <f>+E23/D23%</f>
        <v>2898.4581229999999</v>
      </c>
      <c r="L23" s="136">
        <f>+G22/E22%</f>
        <v>89.999999899923509</v>
      </c>
    </row>
    <row r="24" spans="1:12">
      <c r="A24" s="55"/>
      <c r="B24" s="56" t="s">
        <v>143</v>
      </c>
      <c r="C24" s="135"/>
      <c r="D24" s="135"/>
      <c r="E24" s="135">
        <f t="shared" si="3"/>
        <v>0</v>
      </c>
      <c r="F24" s="135">
        <v>0</v>
      </c>
      <c r="G24" s="135">
        <v>0</v>
      </c>
      <c r="H24" s="135">
        <v>0</v>
      </c>
      <c r="I24" s="135">
        <v>0</v>
      </c>
      <c r="J24" s="134"/>
      <c r="K24" s="134"/>
    </row>
    <row r="25" spans="1:12" ht="39">
      <c r="A25" s="55"/>
      <c r="B25" s="57" t="s">
        <v>144</v>
      </c>
      <c r="C25" s="135"/>
      <c r="D25" s="135"/>
      <c r="E25" s="135">
        <f t="shared" si="3"/>
        <v>0</v>
      </c>
      <c r="F25" s="135">
        <v>0</v>
      </c>
      <c r="G25" s="135">
        <v>0</v>
      </c>
      <c r="H25" s="135">
        <v>0</v>
      </c>
      <c r="I25" s="135">
        <v>0</v>
      </c>
      <c r="J25" s="134"/>
      <c r="K25" s="134"/>
    </row>
    <row r="26" spans="1:12">
      <c r="A26" s="55"/>
      <c r="B26" s="56" t="s">
        <v>148</v>
      </c>
      <c r="C26" s="135">
        <v>100000000</v>
      </c>
      <c r="D26" s="135">
        <v>100000000</v>
      </c>
      <c r="E26" s="135">
        <f t="shared" si="3"/>
        <v>144808388</v>
      </c>
      <c r="F26" s="135">
        <v>0</v>
      </c>
      <c r="G26" s="135">
        <v>144808368</v>
      </c>
      <c r="H26" s="135">
        <v>20</v>
      </c>
      <c r="I26" s="135">
        <v>0</v>
      </c>
      <c r="J26" s="134">
        <f>+E26/C26%</f>
        <v>144.80838800000001</v>
      </c>
      <c r="K26" s="134">
        <f>+E26/D26%</f>
        <v>144.80838800000001</v>
      </c>
    </row>
    <row r="27" spans="1:12" ht="26">
      <c r="A27" s="53">
        <v>3</v>
      </c>
      <c r="B27" s="54" t="s">
        <v>149</v>
      </c>
      <c r="C27" s="135"/>
      <c r="D27" s="135"/>
      <c r="E27" s="134">
        <f>+E28+E30+E32+E33+E35+E37</f>
        <v>0</v>
      </c>
      <c r="F27" s="135">
        <f>+F28+F30+F32+F33+F35+F37</f>
        <v>0</v>
      </c>
      <c r="G27" s="135">
        <f>+G28+G30+G32+G33+G35+G37</f>
        <v>0</v>
      </c>
      <c r="H27" s="134">
        <f>+H28+H30+H32+H33+H35+H37</f>
        <v>0</v>
      </c>
      <c r="I27" s="135">
        <f>+I28+I30+I32+I33+I35+I37</f>
        <v>0</v>
      </c>
      <c r="J27" s="135"/>
      <c r="K27" s="135"/>
    </row>
    <row r="28" spans="1:12">
      <c r="A28" s="55"/>
      <c r="B28" s="56" t="s">
        <v>140</v>
      </c>
      <c r="C28" s="135"/>
      <c r="D28" s="135"/>
      <c r="E28" s="135">
        <f t="shared" si="3"/>
        <v>0</v>
      </c>
      <c r="F28" s="135"/>
      <c r="G28" s="135"/>
      <c r="H28" s="135"/>
      <c r="I28" s="135"/>
      <c r="J28" s="135"/>
      <c r="K28" s="135"/>
    </row>
    <row r="29" spans="1:12" ht="26">
      <c r="A29" s="55"/>
      <c r="B29" s="57" t="s">
        <v>150</v>
      </c>
      <c r="C29" s="135"/>
      <c r="D29" s="135"/>
      <c r="E29" s="135">
        <f t="shared" si="3"/>
        <v>0</v>
      </c>
      <c r="F29" s="135"/>
      <c r="G29" s="135"/>
      <c r="H29" s="135"/>
      <c r="I29" s="135"/>
      <c r="J29" s="135"/>
      <c r="K29" s="135"/>
    </row>
    <row r="30" spans="1:12">
      <c r="A30" s="55"/>
      <c r="B30" s="56" t="s">
        <v>142</v>
      </c>
      <c r="C30" s="135"/>
      <c r="D30" s="135"/>
      <c r="E30" s="135">
        <f t="shared" si="3"/>
        <v>0</v>
      </c>
      <c r="F30" s="135"/>
      <c r="G30" s="135"/>
      <c r="H30" s="135"/>
      <c r="I30" s="135"/>
      <c r="J30" s="135"/>
      <c r="K30" s="135"/>
    </row>
    <row r="31" spans="1:12" ht="26">
      <c r="A31" s="55"/>
      <c r="B31" s="57" t="s">
        <v>151</v>
      </c>
      <c r="C31" s="135"/>
      <c r="D31" s="135"/>
      <c r="E31" s="135">
        <f t="shared" si="3"/>
        <v>0</v>
      </c>
      <c r="F31" s="135"/>
      <c r="G31" s="135"/>
      <c r="H31" s="135"/>
      <c r="I31" s="135"/>
      <c r="J31" s="135"/>
      <c r="K31" s="135"/>
    </row>
    <row r="32" spans="1:12">
      <c r="A32" s="55"/>
      <c r="B32" s="56" t="s">
        <v>152</v>
      </c>
      <c r="C32" s="135"/>
      <c r="D32" s="135"/>
      <c r="E32" s="135">
        <f t="shared" si="3"/>
        <v>0</v>
      </c>
      <c r="F32" s="135"/>
      <c r="G32" s="135"/>
      <c r="H32" s="135"/>
      <c r="I32" s="135"/>
      <c r="J32" s="135"/>
      <c r="K32" s="135"/>
    </row>
    <row r="33" spans="1:11">
      <c r="A33" s="55"/>
      <c r="B33" s="56" t="s">
        <v>143</v>
      </c>
      <c r="C33" s="135"/>
      <c r="D33" s="135"/>
      <c r="E33" s="135">
        <f t="shared" si="3"/>
        <v>0</v>
      </c>
      <c r="F33" s="135"/>
      <c r="G33" s="135"/>
      <c r="H33" s="135"/>
      <c r="I33" s="135"/>
      <c r="J33" s="135"/>
      <c r="K33" s="135"/>
    </row>
    <row r="34" spans="1:11" ht="39">
      <c r="A34" s="55"/>
      <c r="B34" s="57" t="s">
        <v>153</v>
      </c>
      <c r="C34" s="135"/>
      <c r="D34" s="135"/>
      <c r="E34" s="135">
        <f t="shared" si="3"/>
        <v>0</v>
      </c>
      <c r="F34" s="135"/>
      <c r="G34" s="135"/>
      <c r="H34" s="135"/>
      <c r="I34" s="135"/>
      <c r="J34" s="135"/>
      <c r="K34" s="135"/>
    </row>
    <row r="35" spans="1:11">
      <c r="A35" s="55"/>
      <c r="B35" s="56" t="s">
        <v>148</v>
      </c>
      <c r="C35" s="135"/>
      <c r="D35" s="135"/>
      <c r="E35" s="135">
        <f t="shared" si="3"/>
        <v>0</v>
      </c>
      <c r="F35" s="135"/>
      <c r="G35" s="135"/>
      <c r="H35" s="135"/>
      <c r="I35" s="135"/>
      <c r="J35" s="135"/>
      <c r="K35" s="135"/>
    </row>
    <row r="36" spans="1:11">
      <c r="A36" s="55"/>
      <c r="B36" s="57" t="s">
        <v>146</v>
      </c>
      <c r="C36" s="135"/>
      <c r="D36" s="135"/>
      <c r="E36" s="135">
        <f t="shared" si="3"/>
        <v>0</v>
      </c>
      <c r="F36" s="135"/>
      <c r="G36" s="135"/>
      <c r="H36" s="135"/>
      <c r="I36" s="135"/>
      <c r="J36" s="135"/>
      <c r="K36" s="135"/>
    </row>
    <row r="37" spans="1:11">
      <c r="A37" s="55"/>
      <c r="B37" s="56" t="s">
        <v>154</v>
      </c>
      <c r="C37" s="135"/>
      <c r="D37" s="135"/>
      <c r="E37" s="135">
        <f t="shared" si="3"/>
        <v>0</v>
      </c>
      <c r="F37" s="135"/>
      <c r="G37" s="135"/>
      <c r="H37" s="135"/>
      <c r="I37" s="135"/>
      <c r="J37" s="135"/>
      <c r="K37" s="135"/>
    </row>
    <row r="38" spans="1:11" ht="26">
      <c r="A38" s="55"/>
      <c r="B38" s="57" t="s">
        <v>150</v>
      </c>
      <c r="C38" s="135"/>
      <c r="D38" s="135"/>
      <c r="E38" s="135">
        <f t="shared" si="3"/>
        <v>0</v>
      </c>
      <c r="F38" s="135"/>
      <c r="G38" s="135"/>
      <c r="H38" s="135"/>
      <c r="I38" s="135"/>
      <c r="J38" s="135"/>
      <c r="K38" s="135"/>
    </row>
    <row r="39" spans="1:11" s="51" customFormat="1" ht="26">
      <c r="A39" s="53">
        <v>4</v>
      </c>
      <c r="B39" s="54" t="s">
        <v>155</v>
      </c>
      <c r="C39" s="134">
        <f t="shared" ref="C39:I39" si="5">+C40+C41+C42+C44+C45</f>
        <v>17650000000</v>
      </c>
      <c r="D39" s="134">
        <f t="shared" si="5"/>
        <v>17650000000</v>
      </c>
      <c r="E39" s="134">
        <f t="shared" si="5"/>
        <v>23462249086</v>
      </c>
      <c r="F39" s="134">
        <f t="shared" si="5"/>
        <v>0</v>
      </c>
      <c r="G39" s="134">
        <f t="shared" si="5"/>
        <v>4480152368</v>
      </c>
      <c r="H39" s="134">
        <f t="shared" si="5"/>
        <v>18982043366</v>
      </c>
      <c r="I39" s="134">
        <f t="shared" si="5"/>
        <v>53352</v>
      </c>
      <c r="J39" s="134">
        <f>+E39/C39%</f>
        <v>132.93058972237961</v>
      </c>
      <c r="K39" s="134">
        <f>+E39/D39%</f>
        <v>132.93058972237961</v>
      </c>
    </row>
    <row r="40" spans="1:11">
      <c r="A40" s="55"/>
      <c r="B40" s="56" t="s">
        <v>140</v>
      </c>
      <c r="C40" s="135">
        <v>9930000000</v>
      </c>
      <c r="D40" s="135">
        <v>9930000000</v>
      </c>
      <c r="E40" s="135">
        <f t="shared" si="3"/>
        <v>11977087759</v>
      </c>
      <c r="F40" s="135">
        <v>0</v>
      </c>
      <c r="G40" s="135">
        <v>1197708736</v>
      </c>
      <c r="H40" s="135">
        <v>10779379023</v>
      </c>
      <c r="I40" s="135">
        <v>0</v>
      </c>
      <c r="J40" s="135">
        <f>+E40/C40%</f>
        <v>120.61518387713998</v>
      </c>
      <c r="K40" s="135">
        <f>+E40/D40%</f>
        <v>120.61518387713998</v>
      </c>
    </row>
    <row r="41" spans="1:11">
      <c r="A41" s="55"/>
      <c r="B41" s="56" t="s">
        <v>142</v>
      </c>
      <c r="C41" s="135">
        <v>280000000</v>
      </c>
      <c r="D41" s="135">
        <v>280000000</v>
      </c>
      <c r="E41" s="135">
        <f t="shared" si="3"/>
        <v>628332901</v>
      </c>
      <c r="F41" s="135">
        <v>0</v>
      </c>
      <c r="G41" s="135">
        <v>62833287</v>
      </c>
      <c r="H41" s="135">
        <v>565499614</v>
      </c>
      <c r="I41" s="135">
        <v>0</v>
      </c>
      <c r="J41" s="135"/>
      <c r="K41" s="135"/>
    </row>
    <row r="42" spans="1:11">
      <c r="A42" s="55"/>
      <c r="B42" s="56" t="s">
        <v>143</v>
      </c>
      <c r="C42" s="135">
        <v>40000000</v>
      </c>
      <c r="D42" s="135">
        <v>40000000</v>
      </c>
      <c r="E42" s="135">
        <f t="shared" si="3"/>
        <v>20586967</v>
      </c>
      <c r="F42" s="135">
        <v>0</v>
      </c>
      <c r="G42" s="135">
        <v>0</v>
      </c>
      <c r="H42" s="135">
        <v>20586967</v>
      </c>
      <c r="I42" s="135">
        <v>0</v>
      </c>
      <c r="J42" s="135"/>
      <c r="K42" s="135"/>
    </row>
    <row r="43" spans="1:11" ht="39">
      <c r="A43" s="55"/>
      <c r="B43" s="57" t="s">
        <v>156</v>
      </c>
      <c r="C43" s="135"/>
      <c r="D43" s="135"/>
      <c r="E43" s="135">
        <f t="shared" si="3"/>
        <v>0</v>
      </c>
      <c r="F43" s="135" t="s">
        <v>364</v>
      </c>
      <c r="G43" s="135">
        <v>0</v>
      </c>
      <c r="H43" s="135">
        <v>0</v>
      </c>
      <c r="I43" s="135">
        <v>0</v>
      </c>
      <c r="J43" s="135"/>
      <c r="K43" s="135"/>
    </row>
    <row r="44" spans="1:11">
      <c r="A44" s="55"/>
      <c r="B44" s="56" t="s">
        <v>148</v>
      </c>
      <c r="C44" s="135">
        <v>7400000000</v>
      </c>
      <c r="D44" s="135">
        <v>7400000000</v>
      </c>
      <c r="E44" s="135">
        <f t="shared" si="3"/>
        <v>10836241459</v>
      </c>
      <c r="F44" s="135">
        <v>0</v>
      </c>
      <c r="G44" s="135">
        <v>3219610345</v>
      </c>
      <c r="H44" s="135">
        <v>7616577762</v>
      </c>
      <c r="I44" s="135">
        <v>53352</v>
      </c>
      <c r="J44" s="135">
        <f>+E44/C44%</f>
        <v>146.4356953918919</v>
      </c>
      <c r="K44" s="135">
        <f>+E44/D44%</f>
        <v>146.4356953918919</v>
      </c>
    </row>
    <row r="45" spans="1:11">
      <c r="A45" s="55"/>
      <c r="B45" s="58" t="s">
        <v>145</v>
      </c>
      <c r="C45" s="135"/>
      <c r="D45" s="135">
        <f>+C45</f>
        <v>0</v>
      </c>
      <c r="E45" s="135">
        <f t="shared" si="3"/>
        <v>0</v>
      </c>
      <c r="F45" s="135"/>
      <c r="G45" s="135"/>
      <c r="H45" s="135"/>
      <c r="I45" s="135"/>
      <c r="J45" s="135"/>
      <c r="K45" s="135"/>
    </row>
    <row r="46" spans="1:11" s="51" customFormat="1">
      <c r="A46" s="53">
        <v>5</v>
      </c>
      <c r="B46" s="54" t="s">
        <v>157</v>
      </c>
      <c r="C46" s="134">
        <v>500000000</v>
      </c>
      <c r="D46" s="134">
        <v>500000000</v>
      </c>
      <c r="E46" s="134">
        <f t="shared" si="3"/>
        <v>870532068</v>
      </c>
      <c r="F46" s="134">
        <v>0</v>
      </c>
      <c r="G46" s="134">
        <v>0</v>
      </c>
      <c r="H46" s="134">
        <v>723700054</v>
      </c>
      <c r="I46" s="134">
        <v>146832014</v>
      </c>
      <c r="J46" s="134">
        <f>+E46/C46%</f>
        <v>174.1064136</v>
      </c>
      <c r="K46" s="134">
        <f>+E46/D46%</f>
        <v>174.1064136</v>
      </c>
    </row>
    <row r="47" spans="1:11" s="51" customFormat="1">
      <c r="A47" s="53">
        <v>6</v>
      </c>
      <c r="B47" s="54" t="s">
        <v>158</v>
      </c>
      <c r="C47" s="134"/>
      <c r="D47" s="134"/>
      <c r="E47" s="134">
        <f t="shared" si="3"/>
        <v>0</v>
      </c>
      <c r="F47" s="134">
        <v>0</v>
      </c>
      <c r="G47" s="134">
        <v>0</v>
      </c>
      <c r="H47" s="134">
        <v>0</v>
      </c>
      <c r="I47" s="134">
        <v>0</v>
      </c>
      <c r="J47" s="134"/>
      <c r="K47" s="134"/>
    </row>
    <row r="48" spans="1:11" s="51" customFormat="1">
      <c r="A48" s="53">
        <v>7</v>
      </c>
      <c r="B48" s="54" t="s">
        <v>159</v>
      </c>
      <c r="C48" s="134"/>
      <c r="D48" s="134"/>
      <c r="E48" s="134">
        <f t="shared" si="3"/>
        <v>12494527</v>
      </c>
      <c r="F48" s="134">
        <v>0</v>
      </c>
      <c r="G48" s="134">
        <v>0</v>
      </c>
      <c r="H48" s="134">
        <v>0</v>
      </c>
      <c r="I48" s="134">
        <v>12494527</v>
      </c>
      <c r="J48" s="134"/>
      <c r="K48" s="134"/>
    </row>
    <row r="49" spans="1:12" s="51" customFormat="1">
      <c r="A49" s="53">
        <v>8</v>
      </c>
      <c r="B49" s="54" t="s">
        <v>160</v>
      </c>
      <c r="C49" s="134">
        <v>1200000000</v>
      </c>
      <c r="D49" s="134">
        <v>1200000000</v>
      </c>
      <c r="E49" s="134">
        <f>SUM(F49:I49)</f>
        <v>886855052</v>
      </c>
      <c r="F49" s="134">
        <v>0</v>
      </c>
      <c r="G49" s="134">
        <v>88685473</v>
      </c>
      <c r="H49" s="134">
        <v>798169579</v>
      </c>
      <c r="I49" s="134">
        <v>0</v>
      </c>
      <c r="J49" s="134">
        <f>+E49/C49%</f>
        <v>73.904587666666671</v>
      </c>
      <c r="K49" s="134">
        <f>+E49/D49%</f>
        <v>73.904587666666671</v>
      </c>
    </row>
    <row r="50" spans="1:12" s="51" customFormat="1">
      <c r="A50" s="53">
        <v>9</v>
      </c>
      <c r="B50" s="54" t="s">
        <v>161</v>
      </c>
      <c r="C50" s="134"/>
      <c r="D50" s="134"/>
      <c r="E50" s="134">
        <f t="shared" si="3"/>
        <v>0</v>
      </c>
      <c r="F50" s="134"/>
      <c r="G50" s="134"/>
      <c r="H50" s="134"/>
      <c r="I50" s="134"/>
      <c r="J50" s="134"/>
      <c r="K50" s="134"/>
    </row>
    <row r="51" spans="1:12" ht="26">
      <c r="A51" s="55"/>
      <c r="B51" s="57" t="s">
        <v>162</v>
      </c>
      <c r="C51" s="135"/>
      <c r="D51" s="135"/>
      <c r="E51" s="135">
        <f t="shared" si="3"/>
        <v>0</v>
      </c>
      <c r="F51" s="135"/>
      <c r="G51" s="135"/>
      <c r="H51" s="135"/>
      <c r="I51" s="135"/>
      <c r="J51" s="135"/>
      <c r="K51" s="135"/>
    </row>
    <row r="52" spans="1:12" ht="26">
      <c r="A52" s="55"/>
      <c r="B52" s="57" t="s">
        <v>163</v>
      </c>
      <c r="C52" s="135"/>
      <c r="D52" s="135"/>
      <c r="E52" s="135">
        <f t="shared" si="3"/>
        <v>0</v>
      </c>
      <c r="F52" s="135"/>
      <c r="G52" s="135"/>
      <c r="H52" s="135"/>
      <c r="I52" s="135"/>
      <c r="J52" s="135"/>
      <c r="K52" s="135"/>
    </row>
    <row r="53" spans="1:12" s="51" customFormat="1">
      <c r="A53" s="53">
        <v>10</v>
      </c>
      <c r="B53" s="54" t="s">
        <v>164</v>
      </c>
      <c r="C53" s="134">
        <v>940000000</v>
      </c>
      <c r="D53" s="134">
        <v>940000000</v>
      </c>
      <c r="E53" s="134">
        <f t="shared" si="3"/>
        <v>345580871</v>
      </c>
      <c r="F53" s="134">
        <v>14284942</v>
      </c>
      <c r="G53" s="134">
        <v>16808000</v>
      </c>
      <c r="H53" s="134">
        <v>146238929</v>
      </c>
      <c r="I53" s="134">
        <v>168249000</v>
      </c>
      <c r="J53" s="134">
        <f>+E53/C53%</f>
        <v>36.763922446808508</v>
      </c>
      <c r="K53" s="134">
        <f>+E53/D53%</f>
        <v>36.763922446808508</v>
      </c>
    </row>
    <row r="54" spans="1:12" ht="26">
      <c r="A54" s="55"/>
      <c r="B54" s="57" t="s">
        <v>165</v>
      </c>
      <c r="C54" s="135"/>
      <c r="D54" s="135"/>
      <c r="E54" s="135">
        <f t="shared" si="3"/>
        <v>16284942</v>
      </c>
      <c r="F54" s="135">
        <v>14284942</v>
      </c>
      <c r="G54" s="135">
        <v>0</v>
      </c>
      <c r="H54" s="135">
        <v>0</v>
      </c>
      <c r="I54" s="135">
        <v>2000000</v>
      </c>
      <c r="J54" s="135"/>
      <c r="K54" s="135"/>
    </row>
    <row r="55" spans="1:12" ht="26">
      <c r="A55" s="55"/>
      <c r="B55" s="57" t="s">
        <v>166</v>
      </c>
      <c r="C55" s="135">
        <v>940000000</v>
      </c>
      <c r="D55" s="135">
        <v>940000000</v>
      </c>
      <c r="E55" s="135">
        <f t="shared" si="3"/>
        <v>329295929</v>
      </c>
      <c r="F55" s="135">
        <v>0</v>
      </c>
      <c r="G55" s="135">
        <v>16808000</v>
      </c>
      <c r="H55" s="135">
        <v>146238929</v>
      </c>
      <c r="I55" s="135">
        <v>166249000</v>
      </c>
      <c r="J55" s="135">
        <f>+E55/C55%</f>
        <v>35.031481808510641</v>
      </c>
      <c r="K55" s="135">
        <f>+E55/D55%</f>
        <v>35.031481808510641</v>
      </c>
      <c r="L55" s="47">
        <f>+I57/0.1</f>
        <v>14504163560</v>
      </c>
    </row>
    <row r="56" spans="1:12" ht="26">
      <c r="A56" s="55"/>
      <c r="B56" s="57" t="s">
        <v>167</v>
      </c>
      <c r="C56" s="135">
        <v>500000000</v>
      </c>
      <c r="D56" s="135">
        <v>500000000</v>
      </c>
      <c r="E56" s="135">
        <f t="shared" si="3"/>
        <v>116311756</v>
      </c>
      <c r="F56" s="135">
        <v>0</v>
      </c>
      <c r="G56" s="135">
        <v>0</v>
      </c>
      <c r="H56" s="135">
        <v>116311756</v>
      </c>
      <c r="I56" s="135">
        <v>0</v>
      </c>
      <c r="J56" s="135">
        <f>+E56/C56%</f>
        <v>23.262351200000001</v>
      </c>
      <c r="K56" s="135">
        <f>+E56/D56%</f>
        <v>23.262351200000001</v>
      </c>
      <c r="L56" s="49">
        <f>+E57-L55</f>
        <v>-10</v>
      </c>
    </row>
    <row r="57" spans="1:12" s="51" customFormat="1">
      <c r="A57" s="53">
        <v>11</v>
      </c>
      <c r="B57" s="54" t="s">
        <v>168</v>
      </c>
      <c r="C57" s="134">
        <f>+C58+C59</f>
        <v>5000000000</v>
      </c>
      <c r="D57" s="134">
        <f>+D58+D59</f>
        <v>37361000000</v>
      </c>
      <c r="E57" s="134">
        <f t="shared" si="3"/>
        <v>14504163550</v>
      </c>
      <c r="F57" s="134">
        <v>0</v>
      </c>
      <c r="G57" s="134">
        <v>1740499626</v>
      </c>
      <c r="H57" s="134">
        <v>11313247568</v>
      </c>
      <c r="I57" s="134">
        <v>1450416356</v>
      </c>
      <c r="J57" s="134">
        <f>+E57/C57%</f>
        <v>290.08327100000002</v>
      </c>
      <c r="K57" s="134">
        <f>+E57/D57%</f>
        <v>38.821668451058592</v>
      </c>
    </row>
    <row r="58" spans="1:12" ht="39">
      <c r="A58" s="55"/>
      <c r="B58" s="57" t="s">
        <v>169</v>
      </c>
      <c r="C58" s="135"/>
      <c r="D58" s="135"/>
      <c r="E58" s="135">
        <f t="shared" si="3"/>
        <v>0</v>
      </c>
      <c r="F58" s="135">
        <v>0</v>
      </c>
      <c r="G58" s="135">
        <v>0</v>
      </c>
      <c r="H58" s="135">
        <v>0</v>
      </c>
      <c r="I58" s="135">
        <v>0</v>
      </c>
      <c r="J58" s="135"/>
      <c r="K58" s="135"/>
    </row>
    <row r="59" spans="1:12" ht="26">
      <c r="A59" s="55"/>
      <c r="B59" s="57" t="s">
        <v>170</v>
      </c>
      <c r="C59" s="135">
        <v>5000000000</v>
      </c>
      <c r="D59" s="135">
        <v>37361000000</v>
      </c>
      <c r="E59" s="135">
        <f t="shared" si="3"/>
        <v>14504163550</v>
      </c>
      <c r="F59" s="135">
        <v>0</v>
      </c>
      <c r="G59" s="135">
        <v>1740499626</v>
      </c>
      <c r="H59" s="135">
        <v>11313247568</v>
      </c>
      <c r="I59" s="135">
        <v>1450416356</v>
      </c>
      <c r="J59" s="135">
        <f>+E59/C59%</f>
        <v>290.08327100000002</v>
      </c>
      <c r="K59" s="135">
        <f>+E59/D59%</f>
        <v>38.821668451058592</v>
      </c>
    </row>
    <row r="60" spans="1:12" s="51" customFormat="1">
      <c r="A60" s="53" t="s">
        <v>171</v>
      </c>
      <c r="B60" s="54" t="s">
        <v>172</v>
      </c>
      <c r="C60" s="134">
        <v>560000000</v>
      </c>
      <c r="D60" s="134">
        <v>560000000</v>
      </c>
      <c r="E60" s="134">
        <f t="shared" si="3"/>
        <v>4764993001</v>
      </c>
      <c r="F60" s="134">
        <v>0</v>
      </c>
      <c r="G60" s="134">
        <v>952998595</v>
      </c>
      <c r="H60" s="134">
        <v>3811994406</v>
      </c>
      <c r="I60" s="134">
        <v>0</v>
      </c>
      <c r="J60" s="134">
        <f>+E60/C60%</f>
        <v>850.89160732142852</v>
      </c>
      <c r="K60" s="134">
        <f>+E60/D60%</f>
        <v>850.89160732142852</v>
      </c>
    </row>
    <row r="61" spans="1:12">
      <c r="A61" s="53">
        <v>13</v>
      </c>
      <c r="B61" s="54" t="s">
        <v>173</v>
      </c>
      <c r="C61" s="135"/>
      <c r="D61" s="135"/>
      <c r="E61" s="135">
        <f t="shared" si="3"/>
        <v>0</v>
      </c>
      <c r="F61" s="135"/>
      <c r="G61" s="135"/>
      <c r="H61" s="135"/>
      <c r="I61" s="135"/>
      <c r="J61" s="135"/>
      <c r="K61" s="135"/>
    </row>
    <row r="62" spans="1:12" ht="26">
      <c r="A62" s="56"/>
      <c r="B62" s="57" t="s">
        <v>174</v>
      </c>
      <c r="C62" s="135"/>
      <c r="D62" s="135"/>
      <c r="E62" s="135">
        <f t="shared" si="3"/>
        <v>0</v>
      </c>
      <c r="F62" s="135"/>
      <c r="G62" s="135"/>
      <c r="H62" s="135"/>
      <c r="I62" s="135"/>
      <c r="J62" s="135"/>
      <c r="K62" s="135"/>
    </row>
    <row r="63" spans="1:12" ht="26">
      <c r="A63" s="56"/>
      <c r="B63" s="57" t="s">
        <v>175</v>
      </c>
      <c r="C63" s="135"/>
      <c r="D63" s="135"/>
      <c r="E63" s="135">
        <f t="shared" si="3"/>
        <v>0</v>
      </c>
      <c r="F63" s="135"/>
      <c r="G63" s="135"/>
      <c r="H63" s="135"/>
      <c r="I63" s="135"/>
      <c r="J63" s="135"/>
      <c r="K63" s="135"/>
    </row>
    <row r="64" spans="1:12">
      <c r="A64" s="53">
        <v>14</v>
      </c>
      <c r="B64" s="54" t="s">
        <v>176</v>
      </c>
      <c r="C64" s="135"/>
      <c r="D64" s="135"/>
      <c r="E64" s="135">
        <f t="shared" si="3"/>
        <v>0</v>
      </c>
      <c r="F64" s="135"/>
      <c r="G64" s="135"/>
      <c r="H64" s="135"/>
      <c r="I64" s="135"/>
      <c r="J64" s="135"/>
      <c r="K64" s="135"/>
    </row>
    <row r="65" spans="1:11">
      <c r="A65" s="55"/>
      <c r="B65" s="57" t="s">
        <v>177</v>
      </c>
      <c r="C65" s="135"/>
      <c r="D65" s="135"/>
      <c r="E65" s="135">
        <f t="shared" si="3"/>
        <v>0</v>
      </c>
      <c r="F65" s="135"/>
      <c r="G65" s="135"/>
      <c r="H65" s="135"/>
      <c r="I65" s="135"/>
      <c r="J65" s="135"/>
      <c r="K65" s="135"/>
    </row>
    <row r="66" spans="1:11">
      <c r="A66" s="56"/>
      <c r="B66" s="57" t="s">
        <v>178</v>
      </c>
      <c r="C66" s="135"/>
      <c r="D66" s="135"/>
      <c r="E66" s="135">
        <f t="shared" si="3"/>
        <v>0</v>
      </c>
      <c r="F66" s="135"/>
      <c r="G66" s="135"/>
      <c r="H66" s="135"/>
      <c r="I66" s="135"/>
      <c r="J66" s="135"/>
      <c r="K66" s="135"/>
    </row>
    <row r="67" spans="1:11" ht="26">
      <c r="A67" s="53">
        <v>15</v>
      </c>
      <c r="B67" s="54" t="s">
        <v>179</v>
      </c>
      <c r="C67" s="135"/>
      <c r="D67" s="135"/>
      <c r="E67" s="135">
        <f t="shared" si="3"/>
        <v>0</v>
      </c>
      <c r="F67" s="135"/>
      <c r="G67" s="135"/>
      <c r="H67" s="135"/>
      <c r="I67" s="135"/>
      <c r="J67" s="135"/>
      <c r="K67" s="135"/>
    </row>
    <row r="68" spans="1:11">
      <c r="A68" s="56"/>
      <c r="B68" s="57" t="s">
        <v>180</v>
      </c>
      <c r="C68" s="135"/>
      <c r="D68" s="135"/>
      <c r="E68" s="135">
        <f t="shared" si="3"/>
        <v>0</v>
      </c>
      <c r="F68" s="135"/>
      <c r="G68" s="135"/>
      <c r="H68" s="135"/>
      <c r="I68" s="135"/>
      <c r="J68" s="135"/>
      <c r="K68" s="135"/>
    </row>
    <row r="69" spans="1:11">
      <c r="A69" s="56"/>
      <c r="B69" s="57" t="s">
        <v>181</v>
      </c>
      <c r="C69" s="135"/>
      <c r="D69" s="135"/>
      <c r="E69" s="135">
        <f t="shared" si="3"/>
        <v>0</v>
      </c>
      <c r="F69" s="135"/>
      <c r="G69" s="135"/>
      <c r="H69" s="135"/>
      <c r="I69" s="135"/>
      <c r="J69" s="135"/>
      <c r="K69" s="135"/>
    </row>
    <row r="70" spans="1:11" ht="26">
      <c r="A70" s="53">
        <v>16</v>
      </c>
      <c r="B70" s="54" t="s">
        <v>182</v>
      </c>
      <c r="C70" s="135"/>
      <c r="D70" s="135"/>
      <c r="E70" s="135">
        <f t="shared" si="3"/>
        <v>0</v>
      </c>
      <c r="F70" s="135"/>
      <c r="G70" s="135"/>
      <c r="H70" s="135"/>
      <c r="I70" s="135"/>
      <c r="J70" s="135"/>
      <c r="K70" s="135"/>
    </row>
    <row r="71" spans="1:11" s="51" customFormat="1">
      <c r="A71" s="53">
        <v>17</v>
      </c>
      <c r="B71" s="54" t="s">
        <v>183</v>
      </c>
      <c r="C71" s="134">
        <v>1700000000</v>
      </c>
      <c r="D71" s="134">
        <v>1700000000</v>
      </c>
      <c r="E71" s="134">
        <f>SUM(F71:I71)</f>
        <v>1628383909</v>
      </c>
      <c r="F71" s="134">
        <v>466292021</v>
      </c>
      <c r="G71" s="134">
        <v>468088417</v>
      </c>
      <c r="H71" s="134">
        <v>617321471</v>
      </c>
      <c r="I71" s="134">
        <v>76682000</v>
      </c>
      <c r="J71" s="134">
        <f>+E71/C71%</f>
        <v>95.787288764705877</v>
      </c>
      <c r="K71" s="134">
        <f>+E71/D71%</f>
        <v>95.787288764705877</v>
      </c>
    </row>
    <row r="72" spans="1:11" ht="26">
      <c r="A72" s="56"/>
      <c r="B72" s="57" t="s">
        <v>184</v>
      </c>
      <c r="C72" s="135">
        <v>220000000</v>
      </c>
      <c r="D72" s="135">
        <v>220000000</v>
      </c>
      <c r="E72" s="135">
        <f t="shared" si="3"/>
        <v>466292021</v>
      </c>
      <c r="F72" s="135">
        <v>466292021</v>
      </c>
      <c r="G72" s="135">
        <v>0</v>
      </c>
      <c r="H72" s="135">
        <v>0</v>
      </c>
      <c r="I72" s="135">
        <v>0</v>
      </c>
      <c r="J72" s="134">
        <f>+E72/C72%</f>
        <v>211.95091863636364</v>
      </c>
      <c r="K72" s="134">
        <f>+E72/D72%</f>
        <v>211.95091863636364</v>
      </c>
    </row>
    <row r="73" spans="1:11" s="51" customFormat="1" ht="26">
      <c r="A73" s="53">
        <v>18</v>
      </c>
      <c r="B73" s="54" t="s">
        <v>185</v>
      </c>
      <c r="C73" s="134">
        <f>+C74+C75</f>
        <v>100000000</v>
      </c>
      <c r="D73" s="134">
        <f>+D74+D75</f>
        <v>100000000</v>
      </c>
      <c r="E73" s="134">
        <f>SUM(E74:E75)</f>
        <v>2026079822</v>
      </c>
      <c r="F73" s="134">
        <f>SUM(F74:F75)</f>
        <v>928951800</v>
      </c>
      <c r="G73" s="134">
        <f>SUM(G74:G75)</f>
        <v>398122200</v>
      </c>
      <c r="H73" s="134">
        <f>SUM(H74:H75)</f>
        <v>699005822</v>
      </c>
      <c r="I73" s="134">
        <f>SUM(I74:I75)</f>
        <v>0</v>
      </c>
      <c r="J73" s="134">
        <f>+E73/C73%</f>
        <v>2026.0798219999999</v>
      </c>
      <c r="K73" s="134">
        <f>+E73/D73%</f>
        <v>2026.0798219999999</v>
      </c>
    </row>
    <row r="74" spans="1:11" ht="26">
      <c r="A74" s="56"/>
      <c r="B74" s="57" t="s">
        <v>186</v>
      </c>
      <c r="C74" s="135"/>
      <c r="D74" s="135"/>
      <c r="E74" s="135">
        <f t="shared" si="3"/>
        <v>1327074000</v>
      </c>
      <c r="F74" s="135">
        <v>928951800</v>
      </c>
      <c r="G74" s="135">
        <v>398122200</v>
      </c>
      <c r="H74" s="135">
        <v>0</v>
      </c>
      <c r="I74" s="135">
        <v>0</v>
      </c>
      <c r="J74" s="172"/>
      <c r="K74" s="134"/>
    </row>
    <row r="75" spans="1:11" ht="26">
      <c r="A75" s="55"/>
      <c r="B75" s="57" t="s">
        <v>187</v>
      </c>
      <c r="C75" s="135">
        <v>100000000</v>
      </c>
      <c r="D75" s="135">
        <v>100000000</v>
      </c>
      <c r="E75" s="135">
        <f t="shared" si="3"/>
        <v>699005822</v>
      </c>
      <c r="F75" s="135">
        <v>0</v>
      </c>
      <c r="G75" s="135">
        <v>0</v>
      </c>
      <c r="H75" s="135">
        <v>699005822</v>
      </c>
      <c r="I75" s="135">
        <v>0</v>
      </c>
      <c r="J75" s="134">
        <f>+E75/C75%</f>
        <v>699.00582199999997</v>
      </c>
      <c r="K75" s="134">
        <f>+E75/D75%</f>
        <v>699.00582199999997</v>
      </c>
    </row>
    <row r="76" spans="1:11" s="51" customFormat="1">
      <c r="A76" s="53">
        <v>19</v>
      </c>
      <c r="B76" s="54" t="s">
        <v>188</v>
      </c>
      <c r="C76" s="134"/>
      <c r="D76" s="134"/>
      <c r="E76" s="134">
        <f t="shared" si="3"/>
        <v>0</v>
      </c>
      <c r="F76" s="134"/>
      <c r="G76" s="134"/>
      <c r="H76" s="134"/>
      <c r="I76" s="134"/>
      <c r="J76" s="134"/>
      <c r="K76" s="134"/>
    </row>
    <row r="77" spans="1:11">
      <c r="A77" s="53">
        <v>20</v>
      </c>
      <c r="B77" s="54" t="s">
        <v>189</v>
      </c>
      <c r="C77" s="135"/>
      <c r="D77" s="135"/>
      <c r="E77" s="135">
        <f t="shared" si="3"/>
        <v>0</v>
      </c>
      <c r="F77" s="135"/>
      <c r="G77" s="135"/>
      <c r="H77" s="135"/>
      <c r="I77" s="135"/>
      <c r="J77" s="135"/>
      <c r="K77" s="135"/>
    </row>
    <row r="78" spans="1:11" ht="26">
      <c r="A78" s="53">
        <v>21</v>
      </c>
      <c r="B78" s="54" t="s">
        <v>190</v>
      </c>
      <c r="C78" s="135"/>
      <c r="D78" s="135"/>
      <c r="E78" s="135">
        <f t="shared" si="3"/>
        <v>0</v>
      </c>
      <c r="F78" s="135"/>
      <c r="G78" s="135"/>
      <c r="H78" s="135"/>
      <c r="I78" s="135"/>
      <c r="J78" s="135"/>
      <c r="K78" s="135"/>
    </row>
    <row r="79" spans="1:11">
      <c r="A79" s="53" t="s">
        <v>9</v>
      </c>
      <c r="B79" s="54" t="s">
        <v>191</v>
      </c>
      <c r="C79" s="135"/>
      <c r="D79" s="135"/>
      <c r="E79" s="135">
        <f t="shared" si="3"/>
        <v>0</v>
      </c>
      <c r="F79" s="135"/>
      <c r="G79" s="135"/>
      <c r="H79" s="135"/>
      <c r="I79" s="135"/>
      <c r="J79" s="135"/>
      <c r="K79" s="135"/>
    </row>
    <row r="80" spans="1:11" ht="26">
      <c r="A80" s="59">
        <v>1</v>
      </c>
      <c r="B80" s="60" t="s">
        <v>192</v>
      </c>
      <c r="C80" s="135"/>
      <c r="D80" s="135"/>
      <c r="E80" s="135">
        <f t="shared" ref="E80:E126" si="6">SUM(F80:I80)</f>
        <v>0</v>
      </c>
      <c r="F80" s="135"/>
      <c r="G80" s="135"/>
      <c r="H80" s="135"/>
      <c r="I80" s="135"/>
      <c r="J80" s="135"/>
      <c r="K80" s="135"/>
    </row>
    <row r="81" spans="1:11">
      <c r="A81" s="55" t="s">
        <v>193</v>
      </c>
      <c r="B81" s="56" t="s">
        <v>194</v>
      </c>
      <c r="C81" s="135"/>
      <c r="D81" s="135"/>
      <c r="E81" s="135">
        <f t="shared" si="6"/>
        <v>0</v>
      </c>
      <c r="F81" s="135"/>
      <c r="G81" s="135"/>
      <c r="H81" s="135"/>
      <c r="I81" s="135"/>
      <c r="J81" s="135"/>
      <c r="K81" s="135"/>
    </row>
    <row r="82" spans="1:11">
      <c r="A82" s="55" t="s">
        <v>195</v>
      </c>
      <c r="B82" s="56" t="s">
        <v>196</v>
      </c>
      <c r="C82" s="135"/>
      <c r="D82" s="135"/>
      <c r="E82" s="135">
        <f t="shared" si="6"/>
        <v>0</v>
      </c>
      <c r="F82" s="135"/>
      <c r="G82" s="135"/>
      <c r="H82" s="135"/>
      <c r="I82" s="135"/>
      <c r="J82" s="135"/>
      <c r="K82" s="135"/>
    </row>
    <row r="83" spans="1:11" ht="25">
      <c r="A83" s="55" t="s">
        <v>197</v>
      </c>
      <c r="B83" s="56" t="s">
        <v>198</v>
      </c>
      <c r="C83" s="135"/>
      <c r="D83" s="135"/>
      <c r="E83" s="135">
        <f t="shared" si="6"/>
        <v>0</v>
      </c>
      <c r="F83" s="135"/>
      <c r="G83" s="135"/>
      <c r="H83" s="135"/>
      <c r="I83" s="135"/>
      <c r="J83" s="135"/>
      <c r="K83" s="135"/>
    </row>
    <row r="84" spans="1:11" ht="25">
      <c r="A84" s="55" t="s">
        <v>199</v>
      </c>
      <c r="B84" s="56" t="s">
        <v>200</v>
      </c>
      <c r="C84" s="135"/>
      <c r="D84" s="135"/>
      <c r="E84" s="135">
        <f t="shared" si="6"/>
        <v>0</v>
      </c>
      <c r="F84" s="135"/>
      <c r="G84" s="135"/>
      <c r="H84" s="135"/>
      <c r="I84" s="135"/>
      <c r="J84" s="135"/>
      <c r="K84" s="135"/>
    </row>
    <row r="85" spans="1:11">
      <c r="A85" s="55" t="s">
        <v>201</v>
      </c>
      <c r="B85" s="56" t="s">
        <v>202</v>
      </c>
      <c r="C85" s="135"/>
      <c r="D85" s="135"/>
      <c r="E85" s="135">
        <f t="shared" si="6"/>
        <v>0</v>
      </c>
      <c r="F85" s="135"/>
      <c r="G85" s="135"/>
      <c r="H85" s="135"/>
      <c r="I85" s="135"/>
      <c r="J85" s="135"/>
      <c r="K85" s="135"/>
    </row>
    <row r="86" spans="1:11">
      <c r="A86" s="55" t="s">
        <v>203</v>
      </c>
      <c r="B86" s="56" t="s">
        <v>204</v>
      </c>
      <c r="C86" s="135"/>
      <c r="D86" s="135"/>
      <c r="E86" s="135">
        <f t="shared" si="6"/>
        <v>0</v>
      </c>
      <c r="F86" s="135"/>
      <c r="G86" s="135"/>
      <c r="H86" s="135"/>
      <c r="I86" s="135"/>
      <c r="J86" s="135"/>
      <c r="K86" s="135"/>
    </row>
    <row r="87" spans="1:11" ht="26">
      <c r="A87" s="59">
        <v>2</v>
      </c>
      <c r="B87" s="60" t="s">
        <v>205</v>
      </c>
      <c r="C87" s="135"/>
      <c r="D87" s="135"/>
      <c r="E87" s="135">
        <f t="shared" si="6"/>
        <v>0</v>
      </c>
      <c r="F87" s="135"/>
      <c r="G87" s="135"/>
      <c r="H87" s="135"/>
      <c r="I87" s="135"/>
      <c r="J87" s="135"/>
      <c r="K87" s="135"/>
    </row>
    <row r="88" spans="1:11">
      <c r="A88" s="59">
        <v>3</v>
      </c>
      <c r="B88" s="60" t="s">
        <v>206</v>
      </c>
      <c r="C88" s="135"/>
      <c r="D88" s="135"/>
      <c r="E88" s="135">
        <f t="shared" si="6"/>
        <v>0</v>
      </c>
      <c r="F88" s="135"/>
      <c r="G88" s="135"/>
      <c r="H88" s="135"/>
      <c r="I88" s="135"/>
      <c r="J88" s="135"/>
      <c r="K88" s="135"/>
    </row>
    <row r="89" spans="1:11" ht="39">
      <c r="A89" s="59">
        <v>4</v>
      </c>
      <c r="B89" s="60" t="s">
        <v>207</v>
      </c>
      <c r="C89" s="135"/>
      <c r="D89" s="135"/>
      <c r="E89" s="135">
        <f t="shared" si="6"/>
        <v>0</v>
      </c>
      <c r="F89" s="135"/>
      <c r="G89" s="135"/>
      <c r="H89" s="135"/>
      <c r="I89" s="135"/>
      <c r="J89" s="135"/>
      <c r="K89" s="135"/>
    </row>
    <row r="90" spans="1:11">
      <c r="A90" s="53" t="s">
        <v>12</v>
      </c>
      <c r="B90" s="54" t="s">
        <v>208</v>
      </c>
      <c r="C90" s="135"/>
      <c r="D90" s="135"/>
      <c r="E90" s="135">
        <f t="shared" si="6"/>
        <v>0</v>
      </c>
      <c r="F90" s="135"/>
      <c r="G90" s="135"/>
      <c r="H90" s="135"/>
      <c r="I90" s="135"/>
      <c r="J90" s="135"/>
      <c r="K90" s="135"/>
    </row>
    <row r="91" spans="1:11">
      <c r="A91" s="55">
        <v>1</v>
      </c>
      <c r="B91" s="56" t="s">
        <v>209</v>
      </c>
      <c r="C91" s="135"/>
      <c r="D91" s="135"/>
      <c r="E91" s="135">
        <f t="shared" si="6"/>
        <v>0</v>
      </c>
      <c r="F91" s="135"/>
      <c r="G91" s="135"/>
      <c r="H91" s="135"/>
      <c r="I91" s="135"/>
      <c r="J91" s="135"/>
      <c r="K91" s="135"/>
    </row>
    <row r="92" spans="1:11">
      <c r="A92" s="55">
        <v>2</v>
      </c>
      <c r="B92" s="56" t="s">
        <v>210</v>
      </c>
      <c r="C92" s="135"/>
      <c r="D92" s="135"/>
      <c r="E92" s="135">
        <f t="shared" si="6"/>
        <v>0</v>
      </c>
      <c r="F92" s="135"/>
      <c r="G92" s="135"/>
      <c r="H92" s="135"/>
      <c r="I92" s="135"/>
      <c r="J92" s="135"/>
      <c r="K92" s="135"/>
    </row>
    <row r="93" spans="1:11" ht="25">
      <c r="A93" s="55">
        <v>3</v>
      </c>
      <c r="B93" s="56" t="s">
        <v>211</v>
      </c>
      <c r="C93" s="135"/>
      <c r="D93" s="135"/>
      <c r="E93" s="135">
        <f t="shared" si="6"/>
        <v>0</v>
      </c>
      <c r="F93" s="135"/>
      <c r="G93" s="135"/>
      <c r="H93" s="135"/>
      <c r="I93" s="135"/>
      <c r="J93" s="135"/>
      <c r="K93" s="135"/>
    </row>
    <row r="94" spans="1:11">
      <c r="A94" s="55">
        <v>4</v>
      </c>
      <c r="B94" s="56" t="s">
        <v>212</v>
      </c>
      <c r="C94" s="135"/>
      <c r="D94" s="135"/>
      <c r="E94" s="135">
        <f t="shared" si="6"/>
        <v>0</v>
      </c>
      <c r="F94" s="135"/>
      <c r="G94" s="135"/>
      <c r="H94" s="135"/>
      <c r="I94" s="135"/>
      <c r="J94" s="135"/>
      <c r="K94" s="135"/>
    </row>
    <row r="95" spans="1:11" ht="25">
      <c r="A95" s="55">
        <v>5</v>
      </c>
      <c r="B95" s="56" t="s">
        <v>213</v>
      </c>
      <c r="C95" s="135"/>
      <c r="D95" s="135"/>
      <c r="E95" s="135">
        <f t="shared" si="6"/>
        <v>0</v>
      </c>
      <c r="F95" s="135"/>
      <c r="G95" s="135"/>
      <c r="H95" s="135"/>
      <c r="I95" s="135"/>
      <c r="J95" s="135"/>
      <c r="K95" s="135"/>
    </row>
    <row r="96" spans="1:11" ht="25">
      <c r="A96" s="55">
        <v>6</v>
      </c>
      <c r="B96" s="56" t="s">
        <v>214</v>
      </c>
      <c r="C96" s="135"/>
      <c r="D96" s="135"/>
      <c r="E96" s="135">
        <f t="shared" si="6"/>
        <v>0</v>
      </c>
      <c r="F96" s="135"/>
      <c r="G96" s="135"/>
      <c r="H96" s="135"/>
      <c r="I96" s="135"/>
      <c r="J96" s="135"/>
      <c r="K96" s="135"/>
    </row>
    <row r="97" spans="1:11" ht="25">
      <c r="A97" s="55">
        <v>7</v>
      </c>
      <c r="B97" s="56" t="s">
        <v>215</v>
      </c>
      <c r="C97" s="135"/>
      <c r="D97" s="135"/>
      <c r="E97" s="135">
        <f t="shared" si="6"/>
        <v>0</v>
      </c>
      <c r="F97" s="135"/>
      <c r="G97" s="135"/>
      <c r="H97" s="135"/>
      <c r="I97" s="135"/>
      <c r="J97" s="135"/>
      <c r="K97" s="135"/>
    </row>
    <row r="98" spans="1:11">
      <c r="A98" s="55">
        <v>8</v>
      </c>
      <c r="B98" s="56" t="s">
        <v>216</v>
      </c>
      <c r="C98" s="135"/>
      <c r="D98" s="135"/>
      <c r="E98" s="135">
        <f t="shared" si="6"/>
        <v>0</v>
      </c>
      <c r="F98" s="135"/>
      <c r="G98" s="135"/>
      <c r="H98" s="135"/>
      <c r="I98" s="135"/>
      <c r="J98" s="135"/>
      <c r="K98" s="135"/>
    </row>
    <row r="99" spans="1:11">
      <c r="A99" s="55">
        <v>9</v>
      </c>
      <c r="B99" s="56" t="s">
        <v>204</v>
      </c>
      <c r="C99" s="135"/>
      <c r="D99" s="135"/>
      <c r="E99" s="135">
        <f t="shared" si="6"/>
        <v>0</v>
      </c>
      <c r="F99" s="135"/>
      <c r="G99" s="135"/>
      <c r="H99" s="135"/>
      <c r="I99" s="135"/>
      <c r="J99" s="135"/>
      <c r="K99" s="135"/>
    </row>
    <row r="100" spans="1:11">
      <c r="A100" s="53" t="s">
        <v>13</v>
      </c>
      <c r="B100" s="54" t="s">
        <v>217</v>
      </c>
      <c r="C100" s="135"/>
      <c r="D100" s="135"/>
      <c r="E100" s="135">
        <f t="shared" si="6"/>
        <v>0</v>
      </c>
      <c r="F100" s="135"/>
      <c r="G100" s="135"/>
      <c r="H100" s="135"/>
      <c r="I100" s="135"/>
      <c r="J100" s="135"/>
      <c r="K100" s="135"/>
    </row>
    <row r="101" spans="1:11">
      <c r="A101" s="53" t="s">
        <v>15</v>
      </c>
      <c r="B101" s="60" t="s">
        <v>218</v>
      </c>
      <c r="C101" s="135"/>
      <c r="D101" s="135"/>
      <c r="E101" s="135">
        <f t="shared" si="6"/>
        <v>0</v>
      </c>
      <c r="F101" s="135"/>
      <c r="G101" s="135"/>
      <c r="H101" s="135"/>
      <c r="I101" s="135"/>
      <c r="J101" s="135"/>
      <c r="K101" s="135"/>
    </row>
    <row r="102" spans="1:11" ht="25">
      <c r="A102" s="55">
        <v>1</v>
      </c>
      <c r="B102" s="56" t="s">
        <v>219</v>
      </c>
      <c r="C102" s="135"/>
      <c r="D102" s="135"/>
      <c r="E102" s="135">
        <f t="shared" si="6"/>
        <v>0</v>
      </c>
      <c r="F102" s="135"/>
      <c r="G102" s="135"/>
      <c r="H102" s="135"/>
      <c r="I102" s="135"/>
      <c r="J102" s="135"/>
      <c r="K102" s="135"/>
    </row>
    <row r="103" spans="1:11">
      <c r="A103" s="55">
        <v>2</v>
      </c>
      <c r="B103" s="56" t="s">
        <v>220</v>
      </c>
      <c r="C103" s="135"/>
      <c r="D103" s="135"/>
      <c r="E103" s="135">
        <f t="shared" si="6"/>
        <v>0</v>
      </c>
      <c r="F103" s="135"/>
      <c r="G103" s="135"/>
      <c r="H103" s="135"/>
      <c r="I103" s="135"/>
      <c r="J103" s="135"/>
      <c r="K103" s="135"/>
    </row>
    <row r="104" spans="1:11" ht="26">
      <c r="A104" s="53" t="s">
        <v>16</v>
      </c>
      <c r="B104" s="54" t="s">
        <v>221</v>
      </c>
      <c r="C104" s="135"/>
      <c r="D104" s="135"/>
      <c r="E104" s="135">
        <f t="shared" si="6"/>
        <v>0</v>
      </c>
      <c r="F104" s="135"/>
      <c r="G104" s="135"/>
      <c r="H104" s="135"/>
      <c r="I104" s="135"/>
      <c r="J104" s="135"/>
      <c r="K104" s="135"/>
    </row>
    <row r="105" spans="1:11" ht="26">
      <c r="A105" s="59">
        <v>1</v>
      </c>
      <c r="B105" s="60" t="s">
        <v>222</v>
      </c>
      <c r="C105" s="135"/>
      <c r="D105" s="135"/>
      <c r="E105" s="135">
        <f t="shared" si="6"/>
        <v>0</v>
      </c>
      <c r="F105" s="135"/>
      <c r="G105" s="135"/>
      <c r="H105" s="135"/>
      <c r="I105" s="135"/>
      <c r="J105" s="135"/>
      <c r="K105" s="135"/>
    </row>
    <row r="106" spans="1:11" ht="26">
      <c r="A106" s="59">
        <v>2</v>
      </c>
      <c r="B106" s="60" t="s">
        <v>223</v>
      </c>
      <c r="C106" s="135"/>
      <c r="D106" s="135"/>
      <c r="E106" s="135">
        <f t="shared" si="6"/>
        <v>0</v>
      </c>
      <c r="F106" s="135"/>
      <c r="G106" s="135"/>
      <c r="H106" s="135"/>
      <c r="I106" s="135"/>
      <c r="J106" s="135"/>
      <c r="K106" s="135"/>
    </row>
    <row r="107" spans="1:11">
      <c r="A107" s="55" t="s">
        <v>224</v>
      </c>
      <c r="B107" s="56" t="s">
        <v>225</v>
      </c>
      <c r="C107" s="135"/>
      <c r="D107" s="135"/>
      <c r="E107" s="135">
        <f t="shared" si="6"/>
        <v>0</v>
      </c>
      <c r="F107" s="135"/>
      <c r="G107" s="135"/>
      <c r="H107" s="135"/>
      <c r="I107" s="135"/>
      <c r="J107" s="135"/>
      <c r="K107" s="135"/>
    </row>
    <row r="108" spans="1:11">
      <c r="A108" s="55" t="s">
        <v>226</v>
      </c>
      <c r="B108" s="56" t="s">
        <v>227</v>
      </c>
      <c r="C108" s="135"/>
      <c r="D108" s="135"/>
      <c r="E108" s="135">
        <f t="shared" si="6"/>
        <v>0</v>
      </c>
      <c r="F108" s="135"/>
      <c r="G108" s="135"/>
      <c r="H108" s="135"/>
      <c r="I108" s="135"/>
      <c r="J108" s="135"/>
      <c r="K108" s="135"/>
    </row>
    <row r="109" spans="1:11">
      <c r="A109" s="59">
        <v>3</v>
      </c>
      <c r="B109" s="60" t="s">
        <v>228</v>
      </c>
      <c r="C109" s="135"/>
      <c r="D109" s="135"/>
      <c r="E109" s="135">
        <f t="shared" si="6"/>
        <v>0</v>
      </c>
      <c r="F109" s="135"/>
      <c r="G109" s="135"/>
      <c r="H109" s="135"/>
      <c r="I109" s="135"/>
      <c r="J109" s="135"/>
      <c r="K109" s="135"/>
    </row>
    <row r="110" spans="1:11" ht="26">
      <c r="A110" s="53" t="s">
        <v>11</v>
      </c>
      <c r="B110" s="54" t="s">
        <v>229</v>
      </c>
      <c r="C110" s="135"/>
      <c r="D110" s="135"/>
      <c r="E110" s="135">
        <f t="shared" si="6"/>
        <v>0</v>
      </c>
      <c r="F110" s="135"/>
      <c r="G110" s="135"/>
      <c r="H110" s="135"/>
      <c r="I110" s="135"/>
      <c r="J110" s="135"/>
      <c r="K110" s="135"/>
    </row>
    <row r="111" spans="1:11">
      <c r="A111" s="53" t="s">
        <v>8</v>
      </c>
      <c r="B111" s="54" t="s">
        <v>230</v>
      </c>
      <c r="C111" s="135"/>
      <c r="D111" s="135"/>
      <c r="E111" s="135">
        <f t="shared" si="6"/>
        <v>0</v>
      </c>
      <c r="F111" s="135"/>
      <c r="G111" s="135"/>
      <c r="H111" s="135"/>
      <c r="I111" s="135"/>
      <c r="J111" s="135"/>
      <c r="K111" s="135"/>
    </row>
    <row r="112" spans="1:11">
      <c r="A112" s="55">
        <v>1</v>
      </c>
      <c r="B112" s="56" t="s">
        <v>231</v>
      </c>
      <c r="C112" s="135"/>
      <c r="D112" s="135"/>
      <c r="E112" s="135">
        <f t="shared" si="6"/>
        <v>0</v>
      </c>
      <c r="F112" s="135"/>
      <c r="G112" s="135"/>
      <c r="H112" s="135"/>
      <c r="I112" s="135"/>
      <c r="J112" s="135"/>
      <c r="K112" s="135"/>
    </row>
    <row r="113" spans="1:11" ht="25">
      <c r="A113" s="55">
        <v>2</v>
      </c>
      <c r="B113" s="56" t="s">
        <v>232</v>
      </c>
      <c r="C113" s="135"/>
      <c r="D113" s="135"/>
      <c r="E113" s="135">
        <f t="shared" si="6"/>
        <v>0</v>
      </c>
      <c r="F113" s="135"/>
      <c r="G113" s="135"/>
      <c r="H113" s="135"/>
      <c r="I113" s="135"/>
      <c r="J113" s="135"/>
      <c r="K113" s="135"/>
    </row>
    <row r="114" spans="1:11">
      <c r="A114" s="53" t="s">
        <v>9</v>
      </c>
      <c r="B114" s="54" t="s">
        <v>233</v>
      </c>
      <c r="C114" s="135"/>
      <c r="D114" s="135"/>
      <c r="E114" s="135">
        <f t="shared" si="6"/>
        <v>0</v>
      </c>
      <c r="F114" s="135"/>
      <c r="G114" s="135"/>
      <c r="H114" s="135"/>
      <c r="I114" s="135"/>
      <c r="J114" s="135"/>
      <c r="K114" s="135"/>
    </row>
    <row r="115" spans="1:11">
      <c r="A115" s="55">
        <v>1</v>
      </c>
      <c r="B115" s="56" t="s">
        <v>231</v>
      </c>
      <c r="C115" s="135"/>
      <c r="D115" s="135"/>
      <c r="E115" s="135">
        <f t="shared" si="6"/>
        <v>0</v>
      </c>
      <c r="F115" s="135"/>
      <c r="G115" s="135"/>
      <c r="H115" s="135"/>
      <c r="I115" s="135"/>
      <c r="J115" s="135"/>
      <c r="K115" s="135"/>
    </row>
    <row r="116" spans="1:11" ht="25">
      <c r="A116" s="55">
        <v>2</v>
      </c>
      <c r="B116" s="56" t="s">
        <v>232</v>
      </c>
      <c r="C116" s="135"/>
      <c r="D116" s="135"/>
      <c r="E116" s="135">
        <f t="shared" si="6"/>
        <v>0</v>
      </c>
      <c r="F116" s="135"/>
      <c r="G116" s="135"/>
      <c r="H116" s="135"/>
      <c r="I116" s="135"/>
      <c r="J116" s="135"/>
      <c r="K116" s="135"/>
    </row>
    <row r="117" spans="1:11" s="51" customFormat="1">
      <c r="A117" s="53" t="s">
        <v>18</v>
      </c>
      <c r="B117" s="54" t="s">
        <v>234</v>
      </c>
      <c r="C117" s="134">
        <f>+C118+C123</f>
        <v>86799000000</v>
      </c>
      <c r="D117" s="134">
        <f t="shared" ref="D117:I117" si="7">+D118+D123</f>
        <v>86799000000</v>
      </c>
      <c r="E117" s="134">
        <f>SUM(F117:I117)</f>
        <v>118121644994</v>
      </c>
      <c r="F117" s="134">
        <f t="shared" si="7"/>
        <v>0</v>
      </c>
      <c r="G117" s="134">
        <f>+G118+G123</f>
        <v>6557266514</v>
      </c>
      <c r="H117" s="134">
        <f t="shared" si="7"/>
        <v>92197107856</v>
      </c>
      <c r="I117" s="134">
        <f t="shared" si="7"/>
        <v>19367270624</v>
      </c>
      <c r="J117" s="134">
        <f>+E117/C117%</f>
        <v>136.0864122789433</v>
      </c>
      <c r="K117" s="134">
        <f>+E117/D117%</f>
        <v>136.0864122789433</v>
      </c>
    </row>
    <row r="118" spans="1:11" s="51" customFormat="1" ht="26">
      <c r="A118" s="53" t="s">
        <v>8</v>
      </c>
      <c r="B118" s="54" t="s">
        <v>235</v>
      </c>
      <c r="C118" s="134">
        <f>+C119+C120</f>
        <v>86799000000</v>
      </c>
      <c r="D118" s="134">
        <f t="shared" ref="D118:I118" si="8">+D119+D120</f>
        <v>86799000000</v>
      </c>
      <c r="E118" s="134">
        <f t="shared" si="6"/>
        <v>111543208624</v>
      </c>
      <c r="F118" s="134">
        <f t="shared" si="8"/>
        <v>0</v>
      </c>
      <c r="G118" s="134">
        <f t="shared" si="8"/>
        <v>0</v>
      </c>
      <c r="H118" s="134">
        <f t="shared" si="8"/>
        <v>92175938000</v>
      </c>
      <c r="I118" s="134">
        <f t="shared" si="8"/>
        <v>19367270624</v>
      </c>
      <c r="J118" s="134">
        <f>+E118/C118%</f>
        <v>128.50748121982971</v>
      </c>
      <c r="K118" s="134">
        <f>+E118/D118%</f>
        <v>128.50748121982971</v>
      </c>
    </row>
    <row r="119" spans="1:11" s="61" customFormat="1" ht="13.5">
      <c r="A119" s="59" t="s">
        <v>236</v>
      </c>
      <c r="B119" s="60" t="s">
        <v>237</v>
      </c>
      <c r="C119" s="137">
        <v>60611000000</v>
      </c>
      <c r="D119" s="137">
        <v>60611000000</v>
      </c>
      <c r="E119" s="137">
        <f t="shared" si="6"/>
        <v>77981979000</v>
      </c>
      <c r="F119" s="137">
        <v>0</v>
      </c>
      <c r="G119" s="137">
        <v>0</v>
      </c>
      <c r="H119" s="137">
        <v>60611000000</v>
      </c>
      <c r="I119" s="137">
        <v>17370979000</v>
      </c>
      <c r="J119" s="137">
        <f>+E119/C119%</f>
        <v>128.6597795779644</v>
      </c>
      <c r="K119" s="137">
        <f>+E119/D119%</f>
        <v>128.6597795779644</v>
      </c>
    </row>
    <row r="120" spans="1:11" s="61" customFormat="1" ht="13.5">
      <c r="A120" s="59" t="s">
        <v>238</v>
      </c>
      <c r="B120" s="60" t="s">
        <v>31</v>
      </c>
      <c r="C120" s="137">
        <f>+C121</f>
        <v>26188000000</v>
      </c>
      <c r="D120" s="137">
        <f>+D121</f>
        <v>26188000000</v>
      </c>
      <c r="E120" s="137">
        <f t="shared" si="6"/>
        <v>33561229624</v>
      </c>
      <c r="F120" s="137">
        <v>0</v>
      </c>
      <c r="G120" s="137">
        <v>0</v>
      </c>
      <c r="H120" s="137">
        <v>31564938000</v>
      </c>
      <c r="I120" s="137">
        <v>1996291624</v>
      </c>
      <c r="J120" s="137">
        <f>+E120/C120%</f>
        <v>128.15499321826792</v>
      </c>
      <c r="K120" s="137">
        <f>+E120/D120%</f>
        <v>128.15499321826792</v>
      </c>
    </row>
    <row r="121" spans="1:11" ht="26">
      <c r="A121" s="111" t="s">
        <v>224</v>
      </c>
      <c r="B121" s="57" t="s">
        <v>239</v>
      </c>
      <c r="C121" s="135">
        <v>26188000000</v>
      </c>
      <c r="D121" s="135">
        <v>26188000000</v>
      </c>
      <c r="E121" s="135">
        <f t="shared" si="6"/>
        <v>33561229624</v>
      </c>
      <c r="F121" s="135">
        <v>0</v>
      </c>
      <c r="G121" s="135">
        <v>0</v>
      </c>
      <c r="H121" s="135">
        <v>31564938000</v>
      </c>
      <c r="I121" s="135">
        <v>1996291624</v>
      </c>
      <c r="J121" s="135">
        <f>+E121/C121%</f>
        <v>128.15499321826792</v>
      </c>
      <c r="K121" s="135">
        <f>+E121/D121%</f>
        <v>128.15499321826792</v>
      </c>
    </row>
    <row r="122" spans="1:11" ht="26">
      <c r="A122" s="111" t="s">
        <v>226</v>
      </c>
      <c r="B122" s="57" t="s">
        <v>240</v>
      </c>
      <c r="C122" s="135"/>
      <c r="D122" s="135"/>
      <c r="E122" s="135">
        <f t="shared" si="6"/>
        <v>0</v>
      </c>
      <c r="F122" s="135">
        <v>0</v>
      </c>
      <c r="G122" s="135">
        <v>0</v>
      </c>
      <c r="H122" s="135">
        <v>0</v>
      </c>
      <c r="I122" s="135">
        <v>0</v>
      </c>
      <c r="J122" s="135"/>
      <c r="K122" s="135"/>
    </row>
    <row r="123" spans="1:11" s="51" customFormat="1" ht="26">
      <c r="A123" s="53" t="s">
        <v>9</v>
      </c>
      <c r="B123" s="54" t="s">
        <v>241</v>
      </c>
      <c r="C123" s="134"/>
      <c r="D123" s="134"/>
      <c r="E123" s="134">
        <f t="shared" si="6"/>
        <v>6578436370</v>
      </c>
      <c r="F123" s="134">
        <v>0</v>
      </c>
      <c r="G123" s="134">
        <v>6557266514</v>
      </c>
      <c r="H123" s="134">
        <v>21169856</v>
      </c>
      <c r="I123" s="134">
        <v>0</v>
      </c>
      <c r="J123" s="134"/>
      <c r="K123" s="134"/>
    </row>
    <row r="124" spans="1:11" s="51" customFormat="1">
      <c r="A124" s="53" t="s">
        <v>242</v>
      </c>
      <c r="B124" s="54" t="s">
        <v>243</v>
      </c>
      <c r="C124" s="134"/>
      <c r="D124" s="134"/>
      <c r="E124" s="134">
        <f>SUM(F124:I124)</f>
        <v>84590881688</v>
      </c>
      <c r="F124" s="134">
        <v>0</v>
      </c>
      <c r="G124" s="134">
        <v>0</v>
      </c>
      <c r="H124" s="134">
        <v>80871843482</v>
      </c>
      <c r="I124" s="134">
        <v>3719038206</v>
      </c>
      <c r="J124" s="134"/>
      <c r="K124" s="134"/>
    </row>
    <row r="125" spans="1:11" s="51" customFormat="1">
      <c r="A125" s="53" t="s">
        <v>244</v>
      </c>
      <c r="B125" s="54" t="s">
        <v>245</v>
      </c>
      <c r="C125" s="134"/>
      <c r="D125" s="134"/>
      <c r="E125" s="134">
        <f>SUM(F125:I125)</f>
        <v>1987440376</v>
      </c>
      <c r="F125" s="134">
        <v>0</v>
      </c>
      <c r="G125" s="134">
        <v>0</v>
      </c>
      <c r="H125" s="134">
        <v>1688586304</v>
      </c>
      <c r="I125" s="134">
        <v>298854072</v>
      </c>
      <c r="J125" s="134"/>
      <c r="K125" s="134"/>
    </row>
    <row r="126" spans="1:11" s="51" customFormat="1" ht="26">
      <c r="A126" s="62" t="s">
        <v>339</v>
      </c>
      <c r="B126" s="63" t="s">
        <v>340</v>
      </c>
      <c r="C126" s="138"/>
      <c r="D126" s="138"/>
      <c r="E126" s="138">
        <f t="shared" si="6"/>
        <v>0</v>
      </c>
      <c r="F126" s="138"/>
      <c r="G126" s="138"/>
      <c r="H126" s="138"/>
      <c r="I126" s="138"/>
      <c r="J126" s="138"/>
      <c r="K126" s="138"/>
    </row>
    <row r="128" spans="1:11">
      <c r="B128" s="505" t="s">
        <v>365</v>
      </c>
      <c r="C128" s="505"/>
      <c r="D128" s="47"/>
      <c r="E128" s="502" t="s">
        <v>365</v>
      </c>
      <c r="F128" s="502"/>
      <c r="G128" s="502"/>
      <c r="H128" s="505" t="s">
        <v>365</v>
      </c>
      <c r="I128" s="505"/>
      <c r="J128" s="505"/>
      <c r="K128" s="505"/>
    </row>
    <row r="129" spans="1:11">
      <c r="B129" s="499" t="s">
        <v>366</v>
      </c>
      <c r="C129" s="499"/>
      <c r="D129" s="64"/>
      <c r="E129" s="499" t="s">
        <v>367</v>
      </c>
      <c r="F129" s="499"/>
      <c r="G129" s="499"/>
      <c r="H129" s="503" t="s">
        <v>368</v>
      </c>
      <c r="I129" s="503"/>
      <c r="J129" s="503"/>
      <c r="K129" s="503"/>
    </row>
    <row r="130" spans="1:11">
      <c r="B130" s="499" t="s">
        <v>50</v>
      </c>
      <c r="C130" s="499"/>
      <c r="D130" s="64"/>
      <c r="E130" s="502" t="s">
        <v>369</v>
      </c>
      <c r="F130" s="502"/>
      <c r="G130" s="502"/>
      <c r="H130" s="505" t="s">
        <v>369</v>
      </c>
      <c r="I130" s="505"/>
      <c r="J130" s="505"/>
      <c r="K130" s="505"/>
    </row>
    <row r="131" spans="1:11">
      <c r="K131" s="128"/>
    </row>
    <row r="133" spans="1:11">
      <c r="B133" s="139"/>
      <c r="D133" s="47"/>
    </row>
    <row r="134" spans="1:11">
      <c r="B134" s="499"/>
      <c r="C134" s="499"/>
      <c r="D134" s="499"/>
      <c r="E134" s="127"/>
    </row>
    <row r="135" spans="1:11">
      <c r="B135" s="499"/>
      <c r="C135" s="499"/>
      <c r="D135" s="499"/>
      <c r="E135" s="124"/>
    </row>
    <row r="136" spans="1:11">
      <c r="E136" s="127"/>
    </row>
    <row r="141" spans="1:11">
      <c r="A141" s="65"/>
    </row>
  </sheetData>
  <mergeCells count="20">
    <mergeCell ref="B130:C130"/>
    <mergeCell ref="E130:G130"/>
    <mergeCell ref="H130:K130"/>
    <mergeCell ref="B134:D134"/>
    <mergeCell ref="B135:D135"/>
    <mergeCell ref="E129:G129"/>
    <mergeCell ref="H129:K129"/>
    <mergeCell ref="A3:K3"/>
    <mergeCell ref="A4:K4"/>
    <mergeCell ref="A8:A9"/>
    <mergeCell ref="B8:B9"/>
    <mergeCell ref="C8:D8"/>
    <mergeCell ref="E8:E9"/>
    <mergeCell ref="F8:I8"/>
    <mergeCell ref="J8:K8"/>
    <mergeCell ref="A5:K5"/>
    <mergeCell ref="B128:C128"/>
    <mergeCell ref="E128:G128"/>
    <mergeCell ref="H128:K128"/>
    <mergeCell ref="B129:C129"/>
  </mergeCells>
  <pageMargins left="0.31496062992125984" right="0.23622047244094491" top="0.47244094488188981" bottom="0.43307086614173229" header="0.31496062992125984" footer="0.31496062992125984"/>
  <pageSetup scale="73"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9"/>
  <sheetViews>
    <sheetView view="pageBreakPreview" zoomScale="60" zoomScaleNormal="100" workbookViewId="0">
      <pane xSplit="2" ySplit="8" topLeftCell="C9" activePane="bottomRight" state="frozen"/>
      <selection pane="topRight" activeCell="C1" sqref="C1"/>
      <selection pane="bottomLeft" activeCell="A11" sqref="A11"/>
      <selection pane="bottomRight" activeCell="B1" sqref="A1:XFD1048576"/>
    </sheetView>
  </sheetViews>
  <sheetFormatPr defaultColWidth="9.1796875" defaultRowHeight="15.5"/>
  <cols>
    <col min="1" max="1" width="5.81640625" style="26" customWidth="1"/>
    <col min="2" max="2" width="91.81640625" style="26" customWidth="1"/>
    <col min="3" max="3" width="21.54296875" style="26" customWidth="1"/>
    <col min="4" max="5" width="18.26953125" style="26" customWidth="1"/>
    <col min="6" max="6" width="14" style="404" bestFit="1" customWidth="1"/>
    <col min="7" max="7" width="27.81640625" style="404" customWidth="1"/>
    <col min="8" max="25" width="9.1796875" style="404"/>
    <col min="26" max="16384" width="9.1796875" style="26"/>
  </cols>
  <sheetData>
    <row r="1" spans="1:25" ht="21" customHeight="1">
      <c r="A1" s="24" t="s">
        <v>505</v>
      </c>
      <c r="B1" s="24"/>
      <c r="C1" s="25"/>
      <c r="D1" s="24"/>
      <c r="E1" s="324" t="s">
        <v>479</v>
      </c>
      <c r="G1" s="148">
        <v>24538364671</v>
      </c>
    </row>
    <row r="2" spans="1:25" ht="3" customHeight="1">
      <c r="A2" s="325"/>
      <c r="B2" s="325"/>
      <c r="C2" s="25"/>
      <c r="D2" s="25"/>
      <c r="E2" s="25"/>
    </row>
    <row r="3" spans="1:25" ht="21" customHeight="1">
      <c r="A3" s="24" t="s">
        <v>563</v>
      </c>
      <c r="B3" s="24"/>
      <c r="C3" s="25"/>
      <c r="D3" s="25"/>
      <c r="E3" s="25"/>
      <c r="G3" s="404">
        <f>2.41+0.7+0.25*2.41+0.7*2.41+0.5*2.41</f>
        <v>6.6045000000000007</v>
      </c>
    </row>
    <row r="4" spans="1:25" ht="21" customHeight="1">
      <c r="A4" s="507" t="str">
        <f>+'50,,'!A4:K4</f>
        <v>(Kèm theo Nghị quyết số     /NQ-HĐND ngày     tháng    năm 2025 của 
Hội đồng nhân dân huyện Ia H'Drai)</v>
      </c>
      <c r="B4" s="507"/>
      <c r="C4" s="507"/>
      <c r="D4" s="507"/>
      <c r="E4" s="507"/>
      <c r="G4" s="405">
        <v>0</v>
      </c>
    </row>
    <row r="5" spans="1:25" ht="3.75" customHeight="1">
      <c r="A5" s="326"/>
      <c r="B5" s="326"/>
      <c r="C5" s="25"/>
      <c r="D5" s="25"/>
      <c r="E5" s="25"/>
    </row>
    <row r="6" spans="1:25" ht="3.75" customHeight="1">
      <c r="A6" s="326"/>
      <c r="B6" s="326"/>
      <c r="C6" s="25"/>
      <c r="D6" s="25"/>
      <c r="E6" s="25"/>
    </row>
    <row r="7" spans="1:25" ht="19.5" customHeight="1">
      <c r="A7" s="27"/>
      <c r="B7" s="27"/>
      <c r="D7" s="506" t="s">
        <v>124</v>
      </c>
      <c r="E7" s="506"/>
    </row>
    <row r="8" spans="1:25" ht="23.25" customHeight="1">
      <c r="A8" s="28" t="s">
        <v>7</v>
      </c>
      <c r="B8" s="28" t="s">
        <v>480</v>
      </c>
      <c r="C8" s="28" t="s">
        <v>347</v>
      </c>
      <c r="D8" s="28" t="s">
        <v>29</v>
      </c>
      <c r="E8" s="28" t="s">
        <v>301</v>
      </c>
    </row>
    <row r="9" spans="1:25" s="29" customFormat="1" ht="17.25" customHeight="1">
      <c r="A9" s="28" t="s">
        <v>10</v>
      </c>
      <c r="B9" s="28" t="s">
        <v>11</v>
      </c>
      <c r="C9" s="28">
        <v>1</v>
      </c>
      <c r="D9" s="28">
        <f>C9+1</f>
        <v>2</v>
      </c>
      <c r="E9" s="328" t="s">
        <v>481</v>
      </c>
      <c r="F9" s="406"/>
      <c r="G9" s="406"/>
      <c r="H9" s="406"/>
      <c r="I9" s="406"/>
      <c r="J9" s="406"/>
      <c r="K9" s="406"/>
      <c r="L9" s="406"/>
      <c r="M9" s="406"/>
      <c r="N9" s="406"/>
      <c r="O9" s="406"/>
      <c r="P9" s="406"/>
      <c r="Q9" s="406"/>
      <c r="R9" s="406"/>
      <c r="S9" s="406"/>
      <c r="T9" s="406"/>
      <c r="U9" s="406"/>
      <c r="V9" s="406"/>
      <c r="W9" s="406"/>
      <c r="X9" s="406"/>
      <c r="Y9" s="406"/>
    </row>
    <row r="10" spans="1:25" ht="30" customHeight="1">
      <c r="A10" s="329"/>
      <c r="B10" s="330" t="s">
        <v>482</v>
      </c>
      <c r="C10" s="331">
        <f>+C11+C30+C38+C39</f>
        <v>307752000000</v>
      </c>
      <c r="D10" s="331">
        <f>+D11+D30+D38+D39</f>
        <v>504504511576</v>
      </c>
      <c r="E10" s="332">
        <f>+D10/C10%</f>
        <v>163.93216342249605</v>
      </c>
    </row>
    <row r="11" spans="1:25" ht="30" customHeight="1">
      <c r="A11" s="329" t="s">
        <v>10</v>
      </c>
      <c r="B11" s="330" t="s">
        <v>483</v>
      </c>
      <c r="C11" s="333">
        <f>+C12+C22+C26+C27+C28+C29</f>
        <v>142380000000</v>
      </c>
      <c r="D11" s="333">
        <f>+D12+D22+D26+D27+D28+D29</f>
        <v>154234397108</v>
      </c>
      <c r="E11" s="332">
        <f t="shared" ref="E11:E37" si="0">+D11/C11%</f>
        <v>108.32588643629724</v>
      </c>
    </row>
    <row r="12" spans="1:25" s="31" customFormat="1" ht="30" customHeight="1">
      <c r="A12" s="329" t="s">
        <v>8</v>
      </c>
      <c r="B12" s="330" t="s">
        <v>72</v>
      </c>
      <c r="C12" s="335">
        <f>+C13+C20+C21</f>
        <v>10584700000</v>
      </c>
      <c r="D12" s="335">
        <f>+D13+D20+D21</f>
        <v>20988510649</v>
      </c>
      <c r="E12" s="332">
        <f t="shared" si="0"/>
        <v>198.29102996778369</v>
      </c>
      <c r="F12" s="407"/>
      <c r="G12" s="408">
        <v>137957621068</v>
      </c>
      <c r="H12" s="407"/>
      <c r="I12" s="407"/>
      <c r="J12" s="407"/>
      <c r="K12" s="407"/>
      <c r="L12" s="407"/>
      <c r="M12" s="407"/>
      <c r="N12" s="407"/>
      <c r="O12" s="407"/>
      <c r="P12" s="407"/>
      <c r="Q12" s="407"/>
      <c r="R12" s="407"/>
      <c r="S12" s="407"/>
      <c r="T12" s="407"/>
      <c r="U12" s="407"/>
      <c r="V12" s="407"/>
      <c r="W12" s="407"/>
      <c r="X12" s="407"/>
      <c r="Y12" s="407"/>
    </row>
    <row r="13" spans="1:25" s="31" customFormat="1" ht="30" customHeight="1">
      <c r="A13" s="337">
        <v>1</v>
      </c>
      <c r="B13" s="338" t="s">
        <v>484</v>
      </c>
      <c r="C13" s="336">
        <v>10054700000</v>
      </c>
      <c r="D13" s="336">
        <f>+'52,.'!E11-137957621068-D37</f>
        <v>20988510649</v>
      </c>
      <c r="E13" s="332">
        <f t="shared" si="0"/>
        <v>208.74328074432853</v>
      </c>
      <c r="F13" s="407"/>
      <c r="G13" s="407"/>
      <c r="H13" s="407"/>
      <c r="I13" s="407"/>
      <c r="J13" s="407"/>
      <c r="K13" s="407"/>
      <c r="L13" s="407"/>
      <c r="M13" s="407"/>
      <c r="N13" s="407"/>
      <c r="O13" s="407"/>
      <c r="P13" s="407"/>
      <c r="Q13" s="407"/>
      <c r="R13" s="407"/>
      <c r="S13" s="407"/>
      <c r="T13" s="407"/>
      <c r="U13" s="407"/>
      <c r="V13" s="407"/>
      <c r="W13" s="407"/>
      <c r="X13" s="407"/>
      <c r="Y13" s="407"/>
    </row>
    <row r="14" spans="1:25" s="31" customFormat="1" ht="30" customHeight="1">
      <c r="A14" s="339"/>
      <c r="B14" s="340" t="s">
        <v>485</v>
      </c>
      <c r="C14" s="336"/>
      <c r="D14" s="373"/>
      <c r="E14" s="332"/>
      <c r="F14" s="407"/>
      <c r="G14" s="407"/>
      <c r="H14" s="407"/>
      <c r="I14" s="407"/>
      <c r="J14" s="407"/>
      <c r="K14" s="407"/>
      <c r="L14" s="407"/>
      <c r="M14" s="407"/>
      <c r="N14" s="407"/>
      <c r="O14" s="407"/>
      <c r="P14" s="407"/>
      <c r="Q14" s="407"/>
      <c r="R14" s="407"/>
      <c r="S14" s="407"/>
      <c r="T14" s="407"/>
      <c r="U14" s="407"/>
      <c r="V14" s="407"/>
      <c r="W14" s="407"/>
      <c r="X14" s="407"/>
      <c r="Y14" s="407"/>
    </row>
    <row r="15" spans="1:25" s="31" customFormat="1" ht="30" customHeight="1">
      <c r="A15" s="341" t="s">
        <v>407</v>
      </c>
      <c r="B15" s="340" t="s">
        <v>486</v>
      </c>
      <c r="C15" s="336">
        <f>681000000+3498700000</f>
        <v>4179700000</v>
      </c>
      <c r="D15" s="373">
        <f>+'52,.'!E14-42798341255-2600000000</f>
        <v>4579495868</v>
      </c>
      <c r="E15" s="332">
        <f t="shared" si="0"/>
        <v>109.56518094600091</v>
      </c>
      <c r="F15" s="407"/>
      <c r="G15" s="407">
        <v>42798341255</v>
      </c>
      <c r="H15" s="407"/>
      <c r="I15" s="407"/>
      <c r="J15" s="407"/>
      <c r="K15" s="407"/>
      <c r="L15" s="407"/>
      <c r="M15" s="407"/>
      <c r="N15" s="407"/>
      <c r="O15" s="407"/>
      <c r="P15" s="407"/>
      <c r="Q15" s="407"/>
      <c r="R15" s="407"/>
      <c r="S15" s="407"/>
      <c r="T15" s="407"/>
      <c r="U15" s="407"/>
      <c r="V15" s="407"/>
      <c r="W15" s="407"/>
      <c r="X15" s="407"/>
      <c r="Y15" s="407"/>
    </row>
    <row r="16" spans="1:25" ht="30" customHeight="1">
      <c r="A16" s="341" t="s">
        <v>407</v>
      </c>
      <c r="B16" s="340" t="s">
        <v>487</v>
      </c>
      <c r="C16" s="334"/>
      <c r="D16" s="374"/>
      <c r="E16" s="332"/>
    </row>
    <row r="17" spans="1:25" s="31" customFormat="1" ht="30" customHeight="1">
      <c r="A17" s="337"/>
      <c r="B17" s="340" t="s">
        <v>488</v>
      </c>
      <c r="C17" s="336"/>
      <c r="D17" s="373"/>
      <c r="E17" s="332"/>
      <c r="F17" s="407"/>
      <c r="G17" s="407"/>
      <c r="H17" s="407"/>
      <c r="I17" s="407"/>
      <c r="J17" s="407"/>
      <c r="K17" s="407"/>
      <c r="L17" s="407"/>
      <c r="M17" s="407"/>
      <c r="N17" s="407"/>
      <c r="O17" s="407"/>
      <c r="P17" s="407"/>
      <c r="Q17" s="407"/>
      <c r="R17" s="407"/>
      <c r="S17" s="407"/>
      <c r="T17" s="407"/>
      <c r="U17" s="407"/>
      <c r="V17" s="407"/>
      <c r="W17" s="407"/>
      <c r="X17" s="407"/>
      <c r="Y17" s="407"/>
    </row>
    <row r="18" spans="1:25" s="31" customFormat="1" ht="30" customHeight="1">
      <c r="A18" s="342" t="s">
        <v>407</v>
      </c>
      <c r="B18" s="340" t="s">
        <v>489</v>
      </c>
      <c r="C18" s="336">
        <v>4128700000</v>
      </c>
      <c r="D18" s="373">
        <v>9962171004</v>
      </c>
      <c r="E18" s="332">
        <f t="shared" si="0"/>
        <v>241.29074536779132</v>
      </c>
      <c r="F18" s="407"/>
      <c r="G18" s="407"/>
      <c r="H18" s="407"/>
      <c r="I18" s="407"/>
      <c r="J18" s="407"/>
      <c r="K18" s="407"/>
      <c r="L18" s="407"/>
      <c r="M18" s="407"/>
      <c r="N18" s="407"/>
      <c r="O18" s="407"/>
      <c r="P18" s="407"/>
      <c r="Q18" s="407"/>
      <c r="R18" s="407"/>
      <c r="S18" s="407"/>
      <c r="T18" s="407"/>
      <c r="U18" s="407"/>
      <c r="V18" s="407"/>
      <c r="W18" s="407"/>
      <c r="X18" s="407"/>
      <c r="Y18" s="407"/>
    </row>
    <row r="19" spans="1:25" s="31" customFormat="1" ht="30" customHeight="1">
      <c r="A19" s="342" t="s">
        <v>407</v>
      </c>
      <c r="B19" s="340" t="s">
        <v>490</v>
      </c>
      <c r="C19" s="336"/>
      <c r="D19" s="373"/>
      <c r="E19" s="332"/>
      <c r="F19" s="407"/>
      <c r="G19" s="407"/>
      <c r="H19" s="407"/>
      <c r="I19" s="407"/>
      <c r="J19" s="407"/>
      <c r="K19" s="407"/>
      <c r="L19" s="407"/>
      <c r="M19" s="407"/>
      <c r="N19" s="407"/>
      <c r="O19" s="407"/>
      <c r="P19" s="407"/>
      <c r="Q19" s="407"/>
      <c r="R19" s="407"/>
      <c r="S19" s="407"/>
      <c r="T19" s="407"/>
      <c r="U19" s="407"/>
      <c r="V19" s="407"/>
      <c r="W19" s="407"/>
      <c r="X19" s="407"/>
      <c r="Y19" s="407"/>
    </row>
    <row r="20" spans="1:25" ht="45.75" customHeight="1">
      <c r="A20" s="343">
        <v>2</v>
      </c>
      <c r="B20" s="344" t="s">
        <v>491</v>
      </c>
      <c r="C20" s="334"/>
      <c r="D20" s="374"/>
      <c r="E20" s="332"/>
      <c r="F20" s="409">
        <f>+C25-10000000-217369</f>
        <v>189782631</v>
      </c>
    </row>
    <row r="21" spans="1:25" s="327" customFormat="1" ht="31.5" customHeight="1">
      <c r="A21" s="343">
        <v>3</v>
      </c>
      <c r="B21" s="347" t="s">
        <v>275</v>
      </c>
      <c r="C21" s="345">
        <v>530000000</v>
      </c>
      <c r="D21" s="345"/>
      <c r="E21" s="348">
        <f t="shared" si="0"/>
        <v>0</v>
      </c>
      <c r="F21" s="410">
        <f>300000000-15000000-D25</f>
        <v>95217369</v>
      </c>
      <c r="G21" s="411"/>
      <c r="H21" s="411"/>
      <c r="I21" s="411"/>
      <c r="J21" s="411"/>
      <c r="K21" s="411"/>
      <c r="L21" s="411"/>
      <c r="M21" s="411"/>
      <c r="N21" s="411"/>
      <c r="O21" s="411"/>
      <c r="P21" s="411"/>
      <c r="Q21" s="411"/>
      <c r="R21" s="411"/>
      <c r="S21" s="411"/>
      <c r="T21" s="411"/>
      <c r="U21" s="411"/>
      <c r="V21" s="411"/>
      <c r="W21" s="411"/>
      <c r="X21" s="411"/>
      <c r="Y21" s="411"/>
    </row>
    <row r="22" spans="1:25" ht="31.5" customHeight="1">
      <c r="A22" s="329" t="s">
        <v>9</v>
      </c>
      <c r="B22" s="330" t="s">
        <v>34</v>
      </c>
      <c r="C22" s="333">
        <v>128948000000</v>
      </c>
      <c r="D22" s="333">
        <f>+'52,.'!E28-21384931019-D36</f>
        <v>133245886459</v>
      </c>
      <c r="E22" s="332">
        <f t="shared" si="0"/>
        <v>103.33303847985235</v>
      </c>
      <c r="F22" s="409">
        <f>+C25-D25</f>
        <v>10217369</v>
      </c>
      <c r="G22" s="148">
        <v>21384931019</v>
      </c>
    </row>
    <row r="23" spans="1:25" ht="30" customHeight="1">
      <c r="A23" s="329"/>
      <c r="B23" s="340" t="s">
        <v>51</v>
      </c>
      <c r="C23" s="334"/>
      <c r="D23" s="334"/>
      <c r="E23" s="332"/>
      <c r="F23" s="404">
        <f>+F24-84.782631</f>
        <v>10.217369000000005</v>
      </c>
    </row>
    <row r="24" spans="1:25" ht="30" customHeight="1">
      <c r="A24" s="337">
        <v>1</v>
      </c>
      <c r="B24" s="340" t="s">
        <v>492</v>
      </c>
      <c r="C24" s="334">
        <v>52071000000</v>
      </c>
      <c r="D24" s="334">
        <f>+'52,.'!E14-7413194483-3295199500+2339602900-700614000</f>
        <v>40908432040</v>
      </c>
      <c r="E24" s="332">
        <f t="shared" si="0"/>
        <v>78.5627931862265</v>
      </c>
      <c r="F24" s="404">
        <f>100-5</f>
        <v>95</v>
      </c>
    </row>
    <row r="25" spans="1:25" ht="30" customHeight="1">
      <c r="A25" s="337">
        <f>A24+1</f>
        <v>2</v>
      </c>
      <c r="B25" s="340" t="s">
        <v>493</v>
      </c>
      <c r="C25" s="334">
        <v>200000000</v>
      </c>
      <c r="D25" s="334">
        <v>189782631</v>
      </c>
      <c r="E25" s="332">
        <f t="shared" si="0"/>
        <v>94.891315500000005</v>
      </c>
      <c r="F25" s="404">
        <f>300*0.05</f>
        <v>15</v>
      </c>
    </row>
    <row r="26" spans="1:25" ht="30" customHeight="1">
      <c r="A26" s="329" t="s">
        <v>12</v>
      </c>
      <c r="B26" s="330" t="s">
        <v>494</v>
      </c>
      <c r="C26" s="334"/>
      <c r="D26" s="334"/>
      <c r="E26" s="332"/>
      <c r="F26" s="404">
        <f>200-10</f>
        <v>190</v>
      </c>
    </row>
    <row r="27" spans="1:25" ht="30" customHeight="1">
      <c r="A27" s="329" t="s">
        <v>13</v>
      </c>
      <c r="B27" s="330" t="s">
        <v>495</v>
      </c>
      <c r="C27" s="334"/>
      <c r="D27" s="334"/>
      <c r="E27" s="332"/>
      <c r="H27" s="404">
        <f>3.03+0.35</f>
        <v>3.38</v>
      </c>
    </row>
    <row r="28" spans="1:25" ht="30" customHeight="1">
      <c r="A28" s="329" t="s">
        <v>15</v>
      </c>
      <c r="B28" s="330" t="s">
        <v>496</v>
      </c>
      <c r="C28" s="334">
        <v>2847300000</v>
      </c>
      <c r="D28" s="334"/>
      <c r="E28" s="332">
        <f t="shared" si="0"/>
        <v>0</v>
      </c>
      <c r="H28" s="404">
        <v>0.7</v>
      </c>
    </row>
    <row r="29" spans="1:25" ht="30" customHeight="1">
      <c r="A29" s="329" t="s">
        <v>16</v>
      </c>
      <c r="B29" s="330" t="s">
        <v>497</v>
      </c>
      <c r="C29" s="334"/>
      <c r="D29" s="334"/>
      <c r="E29" s="332"/>
      <c r="H29" s="404">
        <f>0.5*H27</f>
        <v>1.69</v>
      </c>
    </row>
    <row r="30" spans="1:25" ht="30" customHeight="1">
      <c r="A30" s="329" t="s">
        <v>11</v>
      </c>
      <c r="B30" s="346" t="s">
        <v>498</v>
      </c>
      <c r="C30" s="331">
        <f>+C31+C35</f>
        <v>165372000000</v>
      </c>
      <c r="D30" s="331">
        <f>+D31+D35</f>
        <v>177261884919</v>
      </c>
      <c r="E30" s="331">
        <f t="shared" si="0"/>
        <v>107.18978117154053</v>
      </c>
    </row>
    <row r="31" spans="1:25" ht="30" customHeight="1">
      <c r="A31" s="329" t="s">
        <v>8</v>
      </c>
      <c r="B31" s="330" t="s">
        <v>465</v>
      </c>
      <c r="C31" s="331">
        <f>SUM(C32:C34)</f>
        <v>141060000000</v>
      </c>
      <c r="D31" s="331">
        <f>SUM(D32:D34)</f>
        <v>159342552087</v>
      </c>
      <c r="E31" s="331">
        <f t="shared" si="0"/>
        <v>112.96083374946831</v>
      </c>
    </row>
    <row r="32" spans="1:25" ht="30" customHeight="1">
      <c r="A32" s="337">
        <v>1</v>
      </c>
      <c r="B32" s="338" t="s">
        <v>500</v>
      </c>
      <c r="C32" s="332">
        <v>3743000000</v>
      </c>
      <c r="D32" s="332">
        <v>1991659614</v>
      </c>
      <c r="E32" s="332">
        <f t="shared" si="0"/>
        <v>53.210248837830619</v>
      </c>
      <c r="H32" s="404">
        <f>0.5*H27</f>
        <v>1.69</v>
      </c>
    </row>
    <row r="33" spans="1:25" ht="30" customHeight="1">
      <c r="A33" s="339">
        <v>2</v>
      </c>
      <c r="B33" s="338" t="s">
        <v>501</v>
      </c>
      <c r="C33" s="332">
        <v>64118000000</v>
      </c>
      <c r="D33" s="332">
        <f>12817574850+78503184766</f>
        <v>91320759616</v>
      </c>
      <c r="E33" s="332">
        <f t="shared" si="0"/>
        <v>142.42608879877724</v>
      </c>
      <c r="G33" s="149">
        <v>7723844555</v>
      </c>
      <c r="H33" s="404">
        <f>SUM(H27:H32)</f>
        <v>7.4599999999999991</v>
      </c>
    </row>
    <row r="34" spans="1:25" ht="30" customHeight="1">
      <c r="A34" s="339">
        <v>3</v>
      </c>
      <c r="B34" s="338" t="s">
        <v>502</v>
      </c>
      <c r="C34" s="332">
        <v>73199000000</v>
      </c>
      <c r="D34" s="332">
        <f>7723844555+58306288302</f>
        <v>66030132857</v>
      </c>
      <c r="E34" s="332">
        <f t="shared" si="0"/>
        <v>90.206331858358723</v>
      </c>
      <c r="H34" s="404">
        <f>+H33*2340</f>
        <v>17456.399999999998</v>
      </c>
    </row>
    <row r="35" spans="1:25" ht="30" customHeight="1">
      <c r="A35" s="329" t="s">
        <v>9</v>
      </c>
      <c r="B35" s="330" t="s">
        <v>466</v>
      </c>
      <c r="C35" s="331">
        <f>SUM(C36:C37)</f>
        <v>24312000000</v>
      </c>
      <c r="D35" s="331">
        <f>SUM(D36:D37)</f>
        <v>17919332832</v>
      </c>
      <c r="E35" s="332">
        <f t="shared" si="0"/>
        <v>73.705712537018755</v>
      </c>
      <c r="H35" s="404">
        <f>+(H27+H31)*0.115*2340</f>
        <v>909.55799999999999</v>
      </c>
    </row>
    <row r="36" spans="1:25" ht="30" customHeight="1">
      <c r="A36" s="329">
        <v>1</v>
      </c>
      <c r="B36" s="338" t="s">
        <v>503</v>
      </c>
      <c r="C36" s="332">
        <v>20362000000</v>
      </c>
      <c r="D36" s="332">
        <v>13951897832</v>
      </c>
      <c r="E36" s="332">
        <f t="shared" si="0"/>
        <v>68.51929001080444</v>
      </c>
      <c r="H36" s="404">
        <f>+H34-H35</f>
        <v>16546.841999999997</v>
      </c>
    </row>
    <row r="37" spans="1:25" ht="30" customHeight="1">
      <c r="A37" s="329">
        <v>2</v>
      </c>
      <c r="B37" s="338" t="s">
        <v>504</v>
      </c>
      <c r="C37" s="332">
        <v>3950000000</v>
      </c>
      <c r="D37" s="332">
        <f>27735000+3939700000</f>
        <v>3967435000</v>
      </c>
      <c r="E37" s="332">
        <f t="shared" si="0"/>
        <v>100.4413924050633</v>
      </c>
      <c r="F37" s="405">
        <f>+C37-D37</f>
        <v>-17435000</v>
      </c>
    </row>
    <row r="38" spans="1:25" ht="30" customHeight="1">
      <c r="A38" s="329" t="s">
        <v>18</v>
      </c>
      <c r="B38" s="330" t="s">
        <v>499</v>
      </c>
      <c r="C38" s="332"/>
      <c r="D38" s="331">
        <v>172828515271</v>
      </c>
      <c r="E38" s="332"/>
    </row>
    <row r="39" spans="1:25" s="370" customFormat="1" ht="27" customHeight="1">
      <c r="A39" s="368" t="s">
        <v>242</v>
      </c>
      <c r="B39" s="371" t="s">
        <v>525</v>
      </c>
      <c r="C39" s="368"/>
      <c r="D39" s="372">
        <f>+'48_'!D27</f>
        <v>179714278</v>
      </c>
      <c r="E39" s="369"/>
      <c r="F39" s="412"/>
      <c r="G39" s="412"/>
      <c r="H39" s="412"/>
      <c r="I39" s="412"/>
      <c r="J39" s="412"/>
      <c r="K39" s="412"/>
      <c r="L39" s="412"/>
      <c r="M39" s="412"/>
      <c r="N39" s="412"/>
      <c r="O39" s="412"/>
      <c r="P39" s="412"/>
      <c r="Q39" s="412"/>
      <c r="R39" s="412"/>
      <c r="S39" s="412"/>
      <c r="T39" s="412"/>
      <c r="U39" s="412"/>
      <c r="V39" s="412"/>
      <c r="W39" s="412"/>
      <c r="X39" s="412"/>
      <c r="Y39" s="412"/>
    </row>
  </sheetData>
  <mergeCells count="2">
    <mergeCell ref="D7:E7"/>
    <mergeCell ref="A4:E4"/>
  </mergeCells>
  <printOptions horizontalCentered="1"/>
  <pageMargins left="0.78740157480314965" right="0.78740157480314965" top="0.78740157480314965" bottom="0.78740157480314965" header="0.39370078740157483" footer="0.15748031496062992"/>
  <pageSetup paperSize="9" scale="55" fitToHeight="0" orientation="portrait" r:id="rId1"/>
  <headerFooter alignWithMargins="0">
    <oddHeader>&amp;C&amp;"Times New Roman,Regular"55</oddHeader>
    <oddFooter xml:space="preserve">&amp;C&amp;".VnTime,Italic"&amp;8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65"/>
  <sheetViews>
    <sheetView view="pageBreakPreview" zoomScale="60" zoomScaleNormal="70" workbookViewId="0">
      <pane xSplit="2" ySplit="7" topLeftCell="C8" activePane="bottomRight" state="frozen"/>
      <selection activeCell="E15" sqref="E15"/>
      <selection pane="topRight" activeCell="E15" sqref="E15"/>
      <selection pane="bottomLeft" activeCell="E15" sqref="E15"/>
      <selection pane="bottomRight" activeCell="D5" sqref="A1:XFD1048576"/>
    </sheetView>
  </sheetViews>
  <sheetFormatPr defaultColWidth="9.1796875" defaultRowHeight="13"/>
  <cols>
    <col min="1" max="1" width="5.7265625" style="685" customWidth="1"/>
    <col min="2" max="2" width="43.54296875" style="685" customWidth="1"/>
    <col min="3" max="3" width="18.453125" style="734" customWidth="1"/>
    <col min="4" max="5" width="16.81640625" style="734" customWidth="1"/>
    <col min="6" max="6" width="17.54296875" style="734" customWidth="1"/>
    <col min="7" max="7" width="16.7265625" style="734" customWidth="1"/>
    <col min="8" max="8" width="9.26953125" style="685" customWidth="1"/>
    <col min="9" max="9" width="10.453125" style="685" customWidth="1"/>
    <col min="10" max="10" width="0" style="685" hidden="1" customWidth="1"/>
    <col min="11" max="11" width="19.26953125" style="685" hidden="1" customWidth="1"/>
    <col min="12" max="12" width="14.453125" style="685" hidden="1" customWidth="1"/>
    <col min="13" max="29" width="0" style="685" hidden="1" customWidth="1"/>
    <col min="30" max="30" width="15.81640625" style="688" bestFit="1" customWidth="1"/>
    <col min="31" max="36" width="9.1796875" style="688"/>
    <col min="37" max="16384" width="9.1796875" style="685"/>
  </cols>
  <sheetData>
    <row r="1" spans="1:36">
      <c r="A1" s="684"/>
      <c r="G1" s="735" t="s">
        <v>295</v>
      </c>
      <c r="H1" s="735"/>
      <c r="I1" s="735"/>
    </row>
    <row r="2" spans="1:36">
      <c r="A2" s="684"/>
      <c r="G2" s="736"/>
    </row>
    <row r="3" spans="1:36">
      <c r="A3" s="737" t="s">
        <v>561</v>
      </c>
      <c r="B3" s="737"/>
      <c r="C3" s="737"/>
      <c r="D3" s="737"/>
      <c r="E3" s="737"/>
      <c r="F3" s="737"/>
      <c r="G3" s="737"/>
      <c r="H3" s="737"/>
      <c r="I3" s="737"/>
    </row>
    <row r="4" spans="1:36">
      <c r="A4" s="691" t="str">
        <f>+'PL5137'!A4</f>
        <v>(Kèm theo Nghị quyết số     /NQ-HĐND ngày     tháng    năm 2025 của 
Hội đồng nhân dân huyện Ia H'Drai)</v>
      </c>
      <c r="B4" s="691"/>
      <c r="C4" s="691"/>
      <c r="D4" s="691"/>
      <c r="E4" s="691"/>
      <c r="F4" s="691"/>
      <c r="G4" s="691"/>
      <c r="H4" s="691"/>
      <c r="I4" s="691"/>
      <c r="K4" s="734">
        <f>+F9+G9</f>
        <v>504324797298</v>
      </c>
    </row>
    <row r="5" spans="1:36">
      <c r="I5" s="692" t="s">
        <v>122</v>
      </c>
      <c r="K5" s="734"/>
    </row>
    <row r="6" spans="1:36" ht="31.5" customHeight="1">
      <c r="A6" s="738" t="s">
        <v>7</v>
      </c>
      <c r="B6" s="694" t="s">
        <v>247</v>
      </c>
      <c r="C6" s="739" t="s">
        <v>347</v>
      </c>
      <c r="D6" s="739"/>
      <c r="E6" s="739" t="s">
        <v>127</v>
      </c>
      <c r="F6" s="739"/>
      <c r="G6" s="739"/>
      <c r="H6" s="694" t="s">
        <v>248</v>
      </c>
      <c r="I6" s="694"/>
      <c r="K6" s="734">
        <f>+G9-29594300595</f>
        <v>76694801635</v>
      </c>
      <c r="L6" s="685">
        <f>+F31/F28</f>
        <v>0.56831594587379541</v>
      </c>
    </row>
    <row r="7" spans="1:36" ht="46.5" customHeight="1">
      <c r="A7" s="738"/>
      <c r="B7" s="694"/>
      <c r="C7" s="740" t="s">
        <v>129</v>
      </c>
      <c r="D7" s="740" t="s">
        <v>130</v>
      </c>
      <c r="E7" s="740" t="s">
        <v>249</v>
      </c>
      <c r="F7" s="740" t="s">
        <v>250</v>
      </c>
      <c r="G7" s="740" t="s">
        <v>251</v>
      </c>
      <c r="H7" s="697" t="s">
        <v>129</v>
      </c>
      <c r="I7" s="697" t="s">
        <v>130</v>
      </c>
      <c r="K7" s="741">
        <f>+G52-G44</f>
        <v>49140103686</v>
      </c>
    </row>
    <row r="8" spans="1:36" ht="26">
      <c r="A8" s="742" t="s">
        <v>10</v>
      </c>
      <c r="B8" s="742" t="s">
        <v>11</v>
      </c>
      <c r="C8" s="743">
        <v>1</v>
      </c>
      <c r="D8" s="743">
        <v>2</v>
      </c>
      <c r="E8" s="743" t="s">
        <v>252</v>
      </c>
      <c r="F8" s="743">
        <v>5</v>
      </c>
      <c r="G8" s="743">
        <v>6</v>
      </c>
      <c r="H8" s="742" t="s">
        <v>253</v>
      </c>
      <c r="I8" s="742" t="s">
        <v>254</v>
      </c>
      <c r="K8" s="693">
        <f>+K7-G21</f>
        <v>47674853321</v>
      </c>
    </row>
    <row r="9" spans="1:36" s="705" customFormat="1">
      <c r="A9" s="703" t="s">
        <v>10</v>
      </c>
      <c r="B9" s="744" t="s">
        <v>255</v>
      </c>
      <c r="C9" s="745">
        <f>+C10+C27+C28+C43+C44</f>
        <v>307488000000</v>
      </c>
      <c r="D9" s="745">
        <f>+D10+D27+D28+D43+D44</f>
        <v>307752000000</v>
      </c>
      <c r="E9" s="745">
        <f>+E10+E27+E28+E43+E44</f>
        <v>504324797298</v>
      </c>
      <c r="F9" s="745">
        <f>+F10+F27+F28+F43+F44</f>
        <v>398035695068</v>
      </c>
      <c r="G9" s="745">
        <f>+G10+G27+G28+G43+G44</f>
        <v>106289102230</v>
      </c>
      <c r="H9" s="746">
        <f>+E9/C9%</f>
        <v>164.01446472642834</v>
      </c>
      <c r="I9" s="746">
        <f>+E9/D9%</f>
        <v>163.87376761093347</v>
      </c>
      <c r="K9" s="705">
        <f>223560-60000</f>
        <v>163560</v>
      </c>
      <c r="AD9" s="706"/>
      <c r="AE9" s="706"/>
      <c r="AF9" s="706"/>
      <c r="AG9" s="706"/>
      <c r="AH9" s="706"/>
      <c r="AI9" s="706"/>
      <c r="AJ9" s="706"/>
    </row>
    <row r="10" spans="1:36" s="705" customFormat="1">
      <c r="A10" s="707" t="s">
        <v>8</v>
      </c>
      <c r="B10" s="708" t="s">
        <v>35</v>
      </c>
      <c r="C10" s="745">
        <f>+C11+C25+C26</f>
        <v>114916000000</v>
      </c>
      <c r="D10" s="745">
        <f>+D11+D25+D26</f>
        <v>115174700000</v>
      </c>
      <c r="E10" s="747">
        <f>+E11+E25+E26</f>
        <v>162913566717</v>
      </c>
      <c r="F10" s="747">
        <f>+F11+F25+F26</f>
        <v>161147434261</v>
      </c>
      <c r="G10" s="747">
        <f>+G11+G25+G26</f>
        <v>1766132456</v>
      </c>
      <c r="H10" s="748">
        <f>+E10/C10%</f>
        <v>141.76752298809566</v>
      </c>
      <c r="I10" s="748">
        <f>+E10/D10%</f>
        <v>141.44909143848432</v>
      </c>
      <c r="K10" s="716">
        <f>+K8-K9</f>
        <v>47674689761</v>
      </c>
      <c r="L10" s="705">
        <f>30128/82555</f>
        <v>0.36494458239961236</v>
      </c>
      <c r="AD10" s="706"/>
      <c r="AE10" s="706"/>
      <c r="AF10" s="706"/>
      <c r="AG10" s="706"/>
      <c r="AH10" s="706"/>
      <c r="AI10" s="706"/>
      <c r="AJ10" s="706"/>
    </row>
    <row r="11" spans="1:36" s="705" customFormat="1" ht="26">
      <c r="A11" s="707">
        <v>1</v>
      </c>
      <c r="B11" s="708" t="s">
        <v>256</v>
      </c>
      <c r="C11" s="745">
        <f>(5926+2600+1350+4400+94840)*1000000</f>
        <v>109116000000</v>
      </c>
      <c r="D11" s="745">
        <f>SUM(D12:D24)</f>
        <v>108844700000</v>
      </c>
      <c r="E11" s="747">
        <f>SUM(E12:E24)</f>
        <v>162913566717</v>
      </c>
      <c r="F11" s="747">
        <f>SUM(F12:F24)</f>
        <v>161147434261</v>
      </c>
      <c r="G11" s="747">
        <f>SUM(G12:G24)</f>
        <v>1766132456</v>
      </c>
      <c r="H11" s="748">
        <f>+E11/C11%</f>
        <v>149.30309644506764</v>
      </c>
      <c r="I11" s="748">
        <f>+E11/D11%</f>
        <v>149.675240702579</v>
      </c>
      <c r="K11" s="705">
        <f>423560-163560</f>
        <v>260000</v>
      </c>
      <c r="AD11" s="706"/>
      <c r="AE11" s="706"/>
      <c r="AF11" s="706"/>
      <c r="AG11" s="706"/>
      <c r="AH11" s="706"/>
      <c r="AI11" s="706"/>
      <c r="AJ11" s="706"/>
    </row>
    <row r="12" spans="1:36">
      <c r="A12" s="711" t="s">
        <v>193</v>
      </c>
      <c r="B12" s="712" t="s">
        <v>89</v>
      </c>
      <c r="C12" s="749"/>
      <c r="D12" s="749">
        <v>0</v>
      </c>
      <c r="E12" s="749">
        <f t="shared" ref="E12:E27" si="0">SUM(F12:G12)</f>
        <v>0</v>
      </c>
      <c r="F12" s="749">
        <v>0</v>
      </c>
      <c r="G12" s="749">
        <v>0</v>
      </c>
      <c r="H12" s="750"/>
      <c r="I12" s="750"/>
    </row>
    <row r="13" spans="1:36">
      <c r="A13" s="711" t="s">
        <v>195</v>
      </c>
      <c r="B13" s="712" t="s">
        <v>90</v>
      </c>
      <c r="C13" s="749"/>
      <c r="D13" s="749">
        <v>0</v>
      </c>
      <c r="E13" s="749">
        <f t="shared" si="0"/>
        <v>98930000</v>
      </c>
      <c r="F13" s="749">
        <v>0</v>
      </c>
      <c r="G13" s="749">
        <v>98930000</v>
      </c>
      <c r="H13" s="750"/>
      <c r="I13" s="750"/>
      <c r="K13" s="685">
        <f>164638-32049</f>
        <v>132589</v>
      </c>
    </row>
    <row r="14" spans="1:36">
      <c r="A14" s="711" t="s">
        <v>197</v>
      </c>
      <c r="B14" s="712" t="s">
        <v>257</v>
      </c>
      <c r="C14" s="749"/>
      <c r="D14" s="749">
        <f>(2600+681+17002.16)*1000000</f>
        <v>20283160000</v>
      </c>
      <c r="E14" s="749">
        <f t="shared" si="0"/>
        <v>49977837123</v>
      </c>
      <c r="F14" s="749">
        <v>49977837123</v>
      </c>
      <c r="G14" s="749">
        <v>0</v>
      </c>
      <c r="H14" s="750"/>
      <c r="I14" s="750">
        <f>+E14/D14%</f>
        <v>246.40064527913796</v>
      </c>
    </row>
    <row r="15" spans="1:36">
      <c r="A15" s="711" t="s">
        <v>199</v>
      </c>
      <c r="B15" s="712" t="s">
        <v>258</v>
      </c>
      <c r="C15" s="749"/>
      <c r="D15" s="749">
        <v>0</v>
      </c>
      <c r="E15" s="749">
        <f t="shared" si="0"/>
        <v>0</v>
      </c>
      <c r="F15" s="749">
        <v>0</v>
      </c>
      <c r="G15" s="749">
        <v>0</v>
      </c>
      <c r="H15" s="750"/>
      <c r="I15" s="750"/>
      <c r="K15" s="685">
        <f>+F14/F11</f>
        <v>0.31013734318632807</v>
      </c>
    </row>
    <row r="16" spans="1:36">
      <c r="A16" s="711" t="s">
        <v>201</v>
      </c>
      <c r="B16" s="712" t="s">
        <v>259</v>
      </c>
      <c r="C16" s="749"/>
      <c r="D16" s="749">
        <v>0</v>
      </c>
      <c r="E16" s="749">
        <f t="shared" si="0"/>
        <v>0</v>
      </c>
      <c r="F16" s="749">
        <v>0</v>
      </c>
      <c r="G16" s="749">
        <v>0</v>
      </c>
      <c r="H16" s="750"/>
      <c r="I16" s="750"/>
      <c r="K16" s="693">
        <f>37222000000-D14-D17-D21</f>
        <v>-70702700000</v>
      </c>
    </row>
    <row r="17" spans="1:36">
      <c r="A17" s="711" t="s">
        <v>203</v>
      </c>
      <c r="B17" s="712" t="s">
        <v>260</v>
      </c>
      <c r="C17" s="749"/>
      <c r="D17" s="749">
        <v>12767000000</v>
      </c>
      <c r="E17" s="749">
        <f t="shared" si="0"/>
        <v>8307549932</v>
      </c>
      <c r="F17" s="749">
        <v>8107237841</v>
      </c>
      <c r="G17" s="749">
        <v>200312091</v>
      </c>
      <c r="H17" s="750"/>
      <c r="I17" s="750"/>
    </row>
    <row r="18" spans="1:36">
      <c r="A18" s="711" t="s">
        <v>261</v>
      </c>
      <c r="B18" s="712" t="s">
        <v>262</v>
      </c>
      <c r="C18" s="749"/>
      <c r="D18" s="749">
        <v>0</v>
      </c>
      <c r="E18" s="749">
        <f t="shared" si="0"/>
        <v>0</v>
      </c>
      <c r="F18" s="749">
        <v>0</v>
      </c>
      <c r="G18" s="749">
        <v>0</v>
      </c>
      <c r="H18" s="750"/>
      <c r="I18" s="750"/>
      <c r="K18" s="685">
        <f>49296580+2450000</f>
        <v>51746580</v>
      </c>
      <c r="L18" s="685">
        <f>48610900-2450000</f>
        <v>46160900</v>
      </c>
    </row>
    <row r="19" spans="1:36">
      <c r="A19" s="711" t="s">
        <v>263</v>
      </c>
      <c r="B19" s="712" t="s">
        <v>264</v>
      </c>
      <c r="C19" s="749"/>
      <c r="D19" s="749">
        <v>0</v>
      </c>
      <c r="E19" s="749">
        <f t="shared" si="0"/>
        <v>0</v>
      </c>
      <c r="F19" s="749">
        <v>0</v>
      </c>
      <c r="G19" s="749">
        <v>0</v>
      </c>
      <c r="H19" s="750"/>
      <c r="I19" s="750"/>
    </row>
    <row r="20" spans="1:36">
      <c r="A20" s="711" t="s">
        <v>265</v>
      </c>
      <c r="B20" s="712" t="s">
        <v>266</v>
      </c>
      <c r="C20" s="749"/>
      <c r="D20" s="749">
        <v>0</v>
      </c>
      <c r="E20" s="749">
        <f t="shared" si="0"/>
        <v>0</v>
      </c>
      <c r="F20" s="749">
        <v>0</v>
      </c>
      <c r="G20" s="749">
        <v>0</v>
      </c>
      <c r="H20" s="750"/>
      <c r="I20" s="750"/>
      <c r="K20" s="685">
        <f>47475/154678</f>
        <v>0.30692794062504042</v>
      </c>
    </row>
    <row r="21" spans="1:36">
      <c r="A21" s="711" t="s">
        <v>267</v>
      </c>
      <c r="B21" s="712" t="s">
        <v>94</v>
      </c>
      <c r="C21" s="749"/>
      <c r="D21" s="749">
        <f>(1350+4325+530+4128.7-530+65070.84)*1000000</f>
        <v>74874540000</v>
      </c>
      <c r="E21" s="749">
        <f t="shared" si="0"/>
        <v>101412101580</v>
      </c>
      <c r="F21" s="749">
        <v>99946851215</v>
      </c>
      <c r="G21" s="749">
        <v>1465250365</v>
      </c>
      <c r="H21" s="750"/>
      <c r="I21" s="750">
        <f>+E21/D21%</f>
        <v>135.44270399524325</v>
      </c>
    </row>
    <row r="22" spans="1:36" ht="26">
      <c r="A22" s="711" t="s">
        <v>268</v>
      </c>
      <c r="B22" s="712" t="s">
        <v>269</v>
      </c>
      <c r="C22" s="749"/>
      <c r="D22" s="749">
        <v>920000000</v>
      </c>
      <c r="E22" s="749">
        <f t="shared" si="0"/>
        <v>3117148082</v>
      </c>
      <c r="F22" s="749">
        <v>3115508082</v>
      </c>
      <c r="G22" s="749">
        <v>1640000</v>
      </c>
      <c r="H22" s="750"/>
      <c r="I22" s="750">
        <f>+E22/D22%</f>
        <v>338.82044369565216</v>
      </c>
      <c r="J22" s="685">
        <f>5720+3000+2090+7359+2100+3050</f>
        <v>23319</v>
      </c>
      <c r="K22" s="685">
        <f>4400+2630+870+7500+5926</f>
        <v>21326</v>
      </c>
    </row>
    <row r="23" spans="1:36">
      <c r="A23" s="711" t="s">
        <v>270</v>
      </c>
      <c r="B23" s="712" t="s">
        <v>271</v>
      </c>
      <c r="C23" s="749"/>
      <c r="D23" s="749">
        <v>0</v>
      </c>
      <c r="E23" s="749">
        <f t="shared" si="0"/>
        <v>0</v>
      </c>
      <c r="F23" s="749">
        <v>0</v>
      </c>
      <c r="G23" s="749">
        <v>0</v>
      </c>
      <c r="H23" s="750"/>
      <c r="I23" s="750"/>
    </row>
    <row r="24" spans="1:36">
      <c r="A24" s="711" t="s">
        <v>272</v>
      </c>
      <c r="B24" s="712" t="s">
        <v>273</v>
      </c>
      <c r="C24" s="749"/>
      <c r="D24" s="749"/>
      <c r="E24" s="749">
        <f t="shared" si="0"/>
        <v>0</v>
      </c>
      <c r="F24" s="749">
        <v>0</v>
      </c>
      <c r="G24" s="749">
        <v>0</v>
      </c>
      <c r="H24" s="750"/>
      <c r="I24" s="750"/>
      <c r="J24" s="685">
        <f>45680-34104</f>
        <v>11576</v>
      </c>
    </row>
    <row r="25" spans="1:36" ht="26">
      <c r="A25" s="707">
        <v>2</v>
      </c>
      <c r="B25" s="708" t="s">
        <v>274</v>
      </c>
      <c r="C25" s="749"/>
      <c r="D25" s="749"/>
      <c r="E25" s="749">
        <f t="shared" si="0"/>
        <v>0</v>
      </c>
      <c r="F25" s="749">
        <v>0</v>
      </c>
      <c r="G25" s="749">
        <v>0</v>
      </c>
      <c r="H25" s="750"/>
      <c r="I25" s="750"/>
      <c r="M25" s="685">
        <f>1494755-1346255</f>
        <v>148500</v>
      </c>
    </row>
    <row r="26" spans="1:36">
      <c r="A26" s="707">
        <v>3</v>
      </c>
      <c r="B26" s="708" t="s">
        <v>275</v>
      </c>
      <c r="C26" s="749">
        <f>(1800+4000)*1000000</f>
        <v>5800000000</v>
      </c>
      <c r="D26" s="749">
        <f>(530+1800+4000)*1000000</f>
        <v>6330000000</v>
      </c>
      <c r="E26" s="749">
        <f t="shared" si="0"/>
        <v>0</v>
      </c>
      <c r="F26" s="749">
        <v>0</v>
      </c>
      <c r="G26" s="749">
        <v>0</v>
      </c>
      <c r="H26" s="750"/>
      <c r="I26" s="750"/>
      <c r="K26" s="693">
        <f>+D28-E28</f>
        <v>23994584690</v>
      </c>
    </row>
    <row r="27" spans="1:36">
      <c r="A27" s="707" t="s">
        <v>9</v>
      </c>
      <c r="B27" s="708" t="s">
        <v>276</v>
      </c>
      <c r="C27" s="745"/>
      <c r="D27" s="745"/>
      <c r="E27" s="747">
        <f t="shared" si="0"/>
        <v>0</v>
      </c>
      <c r="F27" s="747"/>
      <c r="G27" s="747"/>
      <c r="H27" s="750"/>
      <c r="I27" s="750"/>
    </row>
    <row r="28" spans="1:36" s="705" customFormat="1">
      <c r="A28" s="707" t="s">
        <v>12</v>
      </c>
      <c r="B28" s="708" t="s">
        <v>34</v>
      </c>
      <c r="C28" s="745">
        <v>192572000000</v>
      </c>
      <c r="D28" s="745">
        <f>SUM(D29:D42)</f>
        <v>192577300000</v>
      </c>
      <c r="E28" s="747">
        <f>SUM(E29:E42)</f>
        <v>168582715310</v>
      </c>
      <c r="F28" s="747">
        <f>SUM(F29:F42)</f>
        <v>121208744080</v>
      </c>
      <c r="G28" s="747">
        <f>SUM(G29:G42)</f>
        <v>47373971230</v>
      </c>
      <c r="H28" s="748">
        <f>+E28/C28%</f>
        <v>87.542693283551088</v>
      </c>
      <c r="I28" s="748">
        <f>+E28/D28%</f>
        <v>87.540283984664853</v>
      </c>
      <c r="K28" s="705">
        <f>51958-45680</f>
        <v>6278</v>
      </c>
      <c r="M28" s="705">
        <f>1496755-1346255</f>
        <v>150500</v>
      </c>
      <c r="AD28" s="706"/>
      <c r="AE28" s="706"/>
      <c r="AF28" s="706"/>
      <c r="AG28" s="706"/>
      <c r="AH28" s="706"/>
      <c r="AI28" s="706"/>
      <c r="AJ28" s="706"/>
    </row>
    <row r="29" spans="1:36">
      <c r="A29" s="711" t="s">
        <v>224</v>
      </c>
      <c r="B29" s="712" t="s">
        <v>89</v>
      </c>
      <c r="C29" s="749"/>
      <c r="D29" s="749">
        <v>7017190000</v>
      </c>
      <c r="E29" s="749">
        <f t="shared" ref="E29:E43" si="1">SUM(F29:G29)</f>
        <v>7817372852</v>
      </c>
      <c r="F29" s="751">
        <v>3518382000</v>
      </c>
      <c r="G29" s="749">
        <v>4298990852</v>
      </c>
      <c r="H29" s="750"/>
      <c r="I29" s="750">
        <f>+E29/D29%</f>
        <v>111.4031806463841</v>
      </c>
      <c r="M29" s="685">
        <f>+M28-148500</f>
        <v>2000</v>
      </c>
      <c r="AD29" s="689">
        <f>+E29+E30</f>
        <v>10684432352</v>
      </c>
    </row>
    <row r="30" spans="1:36">
      <c r="A30" s="711" t="s">
        <v>226</v>
      </c>
      <c r="B30" s="712" t="s">
        <v>90</v>
      </c>
      <c r="C30" s="749"/>
      <c r="D30" s="749">
        <f>(15+1435)*1000000</f>
        <v>1450000000</v>
      </c>
      <c r="E30" s="749">
        <f t="shared" si="1"/>
        <v>2867059500</v>
      </c>
      <c r="F30" s="751">
        <v>1719424000</v>
      </c>
      <c r="G30" s="749">
        <v>1147635500</v>
      </c>
      <c r="H30" s="750"/>
      <c r="I30" s="750">
        <f t="shared" ref="I30:I42" si="2">+E30/D30%</f>
        <v>197.72824137931033</v>
      </c>
      <c r="K30" s="685">
        <f>11576+34104</f>
        <v>45680</v>
      </c>
    </row>
    <row r="31" spans="1:36">
      <c r="A31" s="711" t="s">
        <v>277</v>
      </c>
      <c r="B31" s="712" t="s">
        <v>257</v>
      </c>
      <c r="C31" s="749"/>
      <c r="D31" s="749">
        <f>(1448+62398)*1000000</f>
        <v>63846000000</v>
      </c>
      <c r="E31" s="749">
        <f>SUM(F31:G31)</f>
        <v>68884862040</v>
      </c>
      <c r="F31" s="751">
        <v>68884862040</v>
      </c>
      <c r="G31" s="749">
        <v>0</v>
      </c>
      <c r="H31" s="750"/>
      <c r="I31" s="750">
        <f t="shared" si="2"/>
        <v>107.89221257400621</v>
      </c>
      <c r="K31" s="693">
        <f>+D31-E31</f>
        <v>-5038862040</v>
      </c>
      <c r="L31" s="685">
        <f>+F31/F28</f>
        <v>0.56831594587379541</v>
      </c>
      <c r="AD31" s="689">
        <f>+F31-0</f>
        <v>68884862040</v>
      </c>
    </row>
    <row r="32" spans="1:36">
      <c r="A32" s="711" t="s">
        <v>278</v>
      </c>
      <c r="B32" s="712" t="s">
        <v>258</v>
      </c>
      <c r="C32" s="749"/>
      <c r="D32" s="749">
        <v>300000000</v>
      </c>
      <c r="E32" s="749">
        <f t="shared" si="1"/>
        <v>284782631</v>
      </c>
      <c r="F32" s="751">
        <v>284782631</v>
      </c>
      <c r="G32" s="749">
        <v>0</v>
      </c>
      <c r="H32" s="750"/>
      <c r="I32" s="750">
        <f t="shared" si="2"/>
        <v>94.927543666666665</v>
      </c>
      <c r="AD32" s="688">
        <v>2706275380</v>
      </c>
    </row>
    <row r="33" spans="1:36">
      <c r="A33" s="711" t="s">
        <v>279</v>
      </c>
      <c r="B33" s="712" t="s">
        <v>259</v>
      </c>
      <c r="C33" s="749"/>
      <c r="D33" s="749">
        <v>0</v>
      </c>
      <c r="E33" s="749">
        <f t="shared" si="1"/>
        <v>0</v>
      </c>
      <c r="F33" s="749">
        <v>0</v>
      </c>
      <c r="G33" s="749">
        <v>0</v>
      </c>
      <c r="H33" s="750"/>
      <c r="I33" s="750"/>
      <c r="AD33" s="689">
        <f>+AD31-AD32</f>
        <v>66178586660</v>
      </c>
    </row>
    <row r="34" spans="1:36">
      <c r="A34" s="711" t="s">
        <v>280</v>
      </c>
      <c r="B34" s="712" t="s">
        <v>260</v>
      </c>
      <c r="C34" s="749"/>
      <c r="D34" s="749">
        <v>1695035000</v>
      </c>
      <c r="E34" s="749">
        <f t="shared" si="1"/>
        <v>2193676676</v>
      </c>
      <c r="F34" s="751">
        <v>2133969560</v>
      </c>
      <c r="G34" s="749">
        <v>59707116</v>
      </c>
      <c r="H34" s="750"/>
      <c r="I34" s="750">
        <f t="shared" si="2"/>
        <v>129.41778051780642</v>
      </c>
    </row>
    <row r="35" spans="1:36">
      <c r="A35" s="711" t="s">
        <v>281</v>
      </c>
      <c r="B35" s="712" t="s">
        <v>262</v>
      </c>
      <c r="C35" s="749"/>
      <c r="D35" s="749">
        <v>1603606000</v>
      </c>
      <c r="E35" s="749">
        <f t="shared" si="1"/>
        <v>738844334</v>
      </c>
      <c r="F35" s="751">
        <v>738844334</v>
      </c>
      <c r="G35" s="749">
        <v>0</v>
      </c>
      <c r="H35" s="750"/>
      <c r="I35" s="750">
        <f t="shared" si="2"/>
        <v>46.07393175131547</v>
      </c>
      <c r="K35" s="693">
        <f>+E39-D39</f>
        <v>1390408664</v>
      </c>
    </row>
    <row r="36" spans="1:36">
      <c r="A36" s="711" t="s">
        <v>282</v>
      </c>
      <c r="B36" s="712" t="s">
        <v>264</v>
      </c>
      <c r="C36" s="749"/>
      <c r="D36" s="749">
        <v>230000000</v>
      </c>
      <c r="E36" s="749">
        <f t="shared" si="1"/>
        <v>249896600</v>
      </c>
      <c r="F36" s="751">
        <v>196650000</v>
      </c>
      <c r="G36" s="749">
        <v>53246600</v>
      </c>
      <c r="H36" s="750"/>
      <c r="I36" s="750">
        <f t="shared" si="2"/>
        <v>108.65069565217391</v>
      </c>
      <c r="K36" s="693">
        <f>24988324000-G39</f>
        <v>2648227892</v>
      </c>
    </row>
    <row r="37" spans="1:36">
      <c r="A37" s="711" t="s">
        <v>283</v>
      </c>
      <c r="B37" s="712" t="s">
        <v>266</v>
      </c>
      <c r="C37" s="749"/>
      <c r="D37" s="749">
        <f>(200+2540)*1000000</f>
        <v>2740000000</v>
      </c>
      <c r="E37" s="749">
        <f t="shared" si="1"/>
        <v>2658262737</v>
      </c>
      <c r="F37" s="751">
        <v>2390074066</v>
      </c>
      <c r="G37" s="749">
        <v>268188671</v>
      </c>
      <c r="H37" s="750"/>
      <c r="I37" s="750">
        <f t="shared" si="2"/>
        <v>97.016888211678832</v>
      </c>
      <c r="K37" s="693">
        <f>24988324000-G39</f>
        <v>2648227892</v>
      </c>
    </row>
    <row r="38" spans="1:36">
      <c r="A38" s="711" t="s">
        <v>284</v>
      </c>
      <c r="B38" s="712" t="s">
        <v>94</v>
      </c>
      <c r="C38" s="749"/>
      <c r="D38" s="749">
        <f>(200+1500+150+7578.472+5898+3632+1470+2212+325+20630+2748)*1000000</f>
        <v>46343472000</v>
      </c>
      <c r="E38" s="749">
        <f t="shared" si="1"/>
        <v>18616730305</v>
      </c>
      <c r="F38" s="751">
        <v>4787028133</v>
      </c>
      <c r="G38" s="749">
        <v>13829702172</v>
      </c>
      <c r="H38" s="750"/>
      <c r="I38" s="750">
        <f t="shared" si="2"/>
        <v>40.171203195565496</v>
      </c>
      <c r="K38" s="685">
        <f>27946867000-28176867000</f>
        <v>-230000000</v>
      </c>
    </row>
    <row r="39" spans="1:36" ht="26">
      <c r="A39" s="711" t="s">
        <v>285</v>
      </c>
      <c r="B39" s="712" t="s">
        <v>269</v>
      </c>
      <c r="C39" s="749"/>
      <c r="D39" s="749">
        <f>(530+54934.093+604+498+330+700+131+563+1043+181+157+458+218+379-2119.5-1231-1051.5)*1000000-1215569000-603894000</f>
        <v>54504630000</v>
      </c>
      <c r="E39" s="749">
        <f t="shared" si="1"/>
        <v>55895038664</v>
      </c>
      <c r="F39" s="749">
        <v>33554942556</v>
      </c>
      <c r="G39" s="749">
        <v>22340096108</v>
      </c>
      <c r="H39" s="750"/>
      <c r="I39" s="750">
        <f t="shared" si="2"/>
        <v>102.5509918405097</v>
      </c>
      <c r="K39" s="693">
        <f>+E39-D39</f>
        <v>1390408664</v>
      </c>
      <c r="L39" s="693">
        <f>+F39-27852711000</f>
        <v>5702231556</v>
      </c>
    </row>
    <row r="40" spans="1:36">
      <c r="A40" s="711" t="s">
        <v>286</v>
      </c>
      <c r="B40" s="712" t="s">
        <v>271</v>
      </c>
      <c r="C40" s="749"/>
      <c r="D40" s="749">
        <v>2950320000</v>
      </c>
      <c r="E40" s="749">
        <f t="shared" si="1"/>
        <v>3078729660</v>
      </c>
      <c r="F40" s="751">
        <v>2877124760</v>
      </c>
      <c r="G40" s="749">
        <v>201604900</v>
      </c>
      <c r="H40" s="750"/>
      <c r="I40" s="750">
        <f t="shared" si="2"/>
        <v>104.35239770601154</v>
      </c>
      <c r="L40" s="693">
        <f>+D39-E39</f>
        <v>-1390408664</v>
      </c>
      <c r="AD40" s="689">
        <f>+E52-E45</f>
        <v>504504511576</v>
      </c>
    </row>
    <row r="41" spans="1:36">
      <c r="A41" s="711" t="s">
        <v>287</v>
      </c>
      <c r="B41" s="712" t="s">
        <v>288</v>
      </c>
      <c r="C41" s="749"/>
      <c r="D41" s="749">
        <f>(828.284+2119.5+1231+1051.5)*1000000+1215569000+603894000</f>
        <v>7049747000</v>
      </c>
      <c r="E41" s="749">
        <f t="shared" si="1"/>
        <v>5297459311</v>
      </c>
      <c r="F41" s="749">
        <v>122660000</v>
      </c>
      <c r="G41" s="749">
        <v>5174799311</v>
      </c>
      <c r="H41" s="750"/>
      <c r="I41" s="750">
        <f t="shared" si="2"/>
        <v>75.143963478405681</v>
      </c>
      <c r="K41" s="685">
        <v>20602880000</v>
      </c>
      <c r="L41" s="693">
        <f>+L40+L39</f>
        <v>4311822892</v>
      </c>
    </row>
    <row r="42" spans="1:36">
      <c r="A42" s="711" t="s">
        <v>289</v>
      </c>
      <c r="B42" s="712" t="s">
        <v>6</v>
      </c>
      <c r="C42" s="749">
        <v>2842000000</v>
      </c>
      <c r="D42" s="749">
        <v>2847300000</v>
      </c>
      <c r="E42" s="749">
        <f t="shared" si="1"/>
        <v>0</v>
      </c>
      <c r="F42" s="752"/>
      <c r="G42" s="752"/>
      <c r="H42" s="750"/>
      <c r="I42" s="750">
        <f t="shared" si="2"/>
        <v>0</v>
      </c>
      <c r="K42" s="693">
        <f>+F39-K41</f>
        <v>12952062556</v>
      </c>
      <c r="AD42" s="689">
        <f>+E52-E45</f>
        <v>504504511576</v>
      </c>
    </row>
    <row r="43" spans="1:36" s="705" customFormat="1">
      <c r="A43" s="707" t="s">
        <v>13</v>
      </c>
      <c r="B43" s="708" t="s">
        <v>45</v>
      </c>
      <c r="C43" s="749"/>
      <c r="D43" s="749"/>
      <c r="E43" s="747">
        <f t="shared" si="1"/>
        <v>0</v>
      </c>
      <c r="F43" s="747"/>
      <c r="G43" s="747"/>
      <c r="H43" s="748"/>
      <c r="I43" s="748"/>
      <c r="K43" s="716">
        <f>+D39-K41</f>
        <v>33901750000</v>
      </c>
      <c r="AD43" s="706"/>
      <c r="AE43" s="706"/>
      <c r="AF43" s="706"/>
      <c r="AG43" s="706"/>
      <c r="AH43" s="706"/>
      <c r="AI43" s="706"/>
      <c r="AJ43" s="706"/>
    </row>
    <row r="44" spans="1:36" s="705" customFormat="1">
      <c r="A44" s="707" t="s">
        <v>15</v>
      </c>
      <c r="B44" s="708" t="s">
        <v>290</v>
      </c>
      <c r="C44" s="749"/>
      <c r="D44" s="749"/>
      <c r="E44" s="747">
        <f>SUM(F44:G44)</f>
        <v>172828515271</v>
      </c>
      <c r="F44" s="747">
        <v>115679516727</v>
      </c>
      <c r="G44" s="747">
        <v>57148998544</v>
      </c>
      <c r="H44" s="748"/>
      <c r="I44" s="748"/>
      <c r="K44" s="716">
        <f>+F39-K43</f>
        <v>-346807444</v>
      </c>
      <c r="AD44" s="706"/>
      <c r="AE44" s="706"/>
      <c r="AF44" s="706"/>
      <c r="AG44" s="706"/>
      <c r="AH44" s="706"/>
      <c r="AI44" s="706"/>
      <c r="AJ44" s="706"/>
    </row>
    <row r="45" spans="1:36" s="705" customFormat="1">
      <c r="A45" s="707" t="s">
        <v>11</v>
      </c>
      <c r="B45" s="708" t="s">
        <v>291</v>
      </c>
      <c r="C45" s="749">
        <f>+C46+C47</f>
        <v>0</v>
      </c>
      <c r="D45" s="747">
        <f>+D46+D47</f>
        <v>67078352000</v>
      </c>
      <c r="E45" s="747">
        <f>+E46+E47</f>
        <v>68036827000</v>
      </c>
      <c r="F45" s="747">
        <f>+F46+F47</f>
        <v>68036827000</v>
      </c>
      <c r="G45" s="747">
        <f>+G46+G47</f>
        <v>0</v>
      </c>
      <c r="H45" s="748"/>
      <c r="I45" s="748"/>
      <c r="AD45" s="706"/>
      <c r="AE45" s="706"/>
      <c r="AF45" s="706"/>
      <c r="AG45" s="706"/>
      <c r="AH45" s="706"/>
      <c r="AI45" s="706"/>
      <c r="AJ45" s="706"/>
    </row>
    <row r="46" spans="1:36">
      <c r="A46" s="711">
        <v>1</v>
      </c>
      <c r="B46" s="712" t="s">
        <v>30</v>
      </c>
      <c r="C46" s="749"/>
      <c r="D46" s="749">
        <v>26529352000</v>
      </c>
      <c r="E46" s="749">
        <f>SUM(F46:G46)</f>
        <v>26303352000</v>
      </c>
      <c r="F46" s="749">
        <v>26303352000</v>
      </c>
      <c r="G46" s="749">
        <v>0</v>
      </c>
      <c r="H46" s="750"/>
      <c r="I46" s="750"/>
    </row>
    <row r="47" spans="1:36">
      <c r="A47" s="711">
        <v>2</v>
      </c>
      <c r="B47" s="712" t="s">
        <v>31</v>
      </c>
      <c r="C47" s="749">
        <f>+C48</f>
        <v>0</v>
      </c>
      <c r="D47" s="747">
        <f>+D48</f>
        <v>40549000000</v>
      </c>
      <c r="E47" s="749">
        <f>SUM(F47:G47)</f>
        <v>41733475000</v>
      </c>
      <c r="F47" s="749">
        <v>41733475000</v>
      </c>
      <c r="G47" s="749">
        <v>0</v>
      </c>
      <c r="H47" s="750"/>
      <c r="I47" s="750"/>
    </row>
    <row r="48" spans="1:36">
      <c r="A48" s="753"/>
      <c r="B48" s="714" t="s">
        <v>292</v>
      </c>
      <c r="C48" s="749"/>
      <c r="D48" s="749">
        <f>40549*1000000</f>
        <v>40549000000</v>
      </c>
      <c r="E48" s="749">
        <f>SUM(F48:G48)</f>
        <v>41733475000</v>
      </c>
      <c r="F48" s="749">
        <v>41733475000</v>
      </c>
      <c r="G48" s="749">
        <v>0</v>
      </c>
      <c r="H48" s="750"/>
      <c r="I48" s="750"/>
    </row>
    <row r="49" spans="1:36">
      <c r="A49" s="753"/>
      <c r="B49" s="714" t="s">
        <v>293</v>
      </c>
      <c r="C49" s="749"/>
      <c r="D49" s="749"/>
      <c r="E49" s="754"/>
      <c r="F49" s="749">
        <v>0</v>
      </c>
      <c r="G49" s="749">
        <v>0</v>
      </c>
      <c r="H49" s="755"/>
      <c r="I49" s="755"/>
    </row>
    <row r="50" spans="1:36" s="705" customFormat="1">
      <c r="A50" s="756" t="s">
        <v>18</v>
      </c>
      <c r="B50" s="757" t="s">
        <v>294</v>
      </c>
      <c r="C50" s="749"/>
      <c r="D50" s="749"/>
      <c r="E50" s="758">
        <f>SUM(F50:G50)</f>
        <v>179714278</v>
      </c>
      <c r="F50" s="758">
        <v>179714278</v>
      </c>
      <c r="G50" s="758">
        <v>0</v>
      </c>
      <c r="H50" s="759"/>
      <c r="I50" s="759"/>
      <c r="K50" s="705">
        <f>180116-179966</f>
        <v>150</v>
      </c>
      <c r="AD50" s="706"/>
      <c r="AE50" s="706"/>
      <c r="AF50" s="706"/>
      <c r="AG50" s="706"/>
      <c r="AH50" s="706"/>
      <c r="AI50" s="706"/>
      <c r="AJ50" s="706"/>
    </row>
    <row r="51" spans="1:36" s="705" customFormat="1">
      <c r="A51" s="756" t="s">
        <v>242</v>
      </c>
      <c r="B51" s="757" t="s">
        <v>341</v>
      </c>
      <c r="C51" s="758"/>
      <c r="D51" s="758"/>
      <c r="E51" s="758">
        <f>SUM(F51:G51)</f>
        <v>0</v>
      </c>
      <c r="F51" s="758"/>
      <c r="G51" s="758"/>
      <c r="H51" s="759"/>
      <c r="I51" s="759"/>
      <c r="AD51" s="710">
        <f>+F52-412554356711</f>
        <v>53697879635</v>
      </c>
      <c r="AE51" s="706"/>
      <c r="AF51" s="706"/>
      <c r="AG51" s="706"/>
      <c r="AH51" s="706"/>
      <c r="AI51" s="706"/>
      <c r="AJ51" s="706"/>
    </row>
    <row r="52" spans="1:36">
      <c r="A52" s="760"/>
      <c r="B52" s="761" t="s">
        <v>342</v>
      </c>
      <c r="C52" s="762">
        <f>+C50+C45+C9</f>
        <v>307488000000</v>
      </c>
      <c r="D52" s="762">
        <f>+D50+D45+D9+D51</f>
        <v>374830352000</v>
      </c>
      <c r="E52" s="762">
        <f>+E50+E45+E9</f>
        <v>572541338576</v>
      </c>
      <c r="F52" s="762">
        <f>+F50+F45+F9</f>
        <v>466252236346</v>
      </c>
      <c r="G52" s="762">
        <f>+G50+G45+G9</f>
        <v>106289102230</v>
      </c>
      <c r="H52" s="762">
        <f>+E52/C52%</f>
        <v>186.19957155271101</v>
      </c>
      <c r="I52" s="762">
        <f>+E52/D52%</f>
        <v>152.74679212103933</v>
      </c>
      <c r="K52" s="693">
        <f>+F52-F46</f>
        <v>439948884346</v>
      </c>
    </row>
    <row r="53" spans="1:36">
      <c r="K53" s="734"/>
    </row>
    <row r="54" spans="1:36">
      <c r="A54" s="763"/>
      <c r="B54" s="763"/>
      <c r="C54" s="685"/>
      <c r="D54" s="727"/>
      <c r="E54" s="727"/>
      <c r="F54" s="763"/>
      <c r="G54" s="763"/>
      <c r="H54" s="763"/>
      <c r="I54" s="763"/>
      <c r="K54" s="693"/>
    </row>
    <row r="55" spans="1:36">
      <c r="A55" s="690"/>
      <c r="B55" s="690"/>
      <c r="C55" s="728"/>
      <c r="D55" s="690"/>
      <c r="E55" s="690"/>
      <c r="F55" s="764"/>
      <c r="G55" s="764"/>
      <c r="H55" s="764"/>
      <c r="I55" s="764"/>
    </row>
    <row r="56" spans="1:36">
      <c r="A56" s="690"/>
      <c r="B56" s="690"/>
      <c r="C56" s="728"/>
      <c r="D56" s="727"/>
      <c r="E56" s="727"/>
      <c r="F56" s="763"/>
      <c r="G56" s="763"/>
      <c r="H56" s="763"/>
      <c r="I56" s="763"/>
    </row>
    <row r="57" spans="1:36">
      <c r="B57" s="734"/>
      <c r="H57" s="734"/>
      <c r="I57" s="734"/>
    </row>
    <row r="58" spans="1:36">
      <c r="B58" s="734"/>
      <c r="H58" s="734"/>
    </row>
    <row r="62" spans="1:36" ht="13.5">
      <c r="A62" s="765"/>
    </row>
    <row r="63" spans="1:36">
      <c r="A63" s="733"/>
    </row>
    <row r="64" spans="1:36">
      <c r="A64" s="733"/>
    </row>
    <row r="65" spans="1:1">
      <c r="A65" s="733"/>
    </row>
  </sheetData>
  <mergeCells count="18">
    <mergeCell ref="G1:I1"/>
    <mergeCell ref="A56:B56"/>
    <mergeCell ref="D56:E56"/>
    <mergeCell ref="F56:I56"/>
    <mergeCell ref="A48:A49"/>
    <mergeCell ref="A54:B54"/>
    <mergeCell ref="D54:E54"/>
    <mergeCell ref="F54:I54"/>
    <mergeCell ref="A55:B55"/>
    <mergeCell ref="D55:E55"/>
    <mergeCell ref="F55:I55"/>
    <mergeCell ref="A3:I3"/>
    <mergeCell ref="A4:I4"/>
    <mergeCell ref="A6:A7"/>
    <mergeCell ref="B6:B7"/>
    <mergeCell ref="C6:D6"/>
    <mergeCell ref="E6:G6"/>
    <mergeCell ref="H6:I6"/>
  </mergeCells>
  <pageMargins left="0.78740157480314965" right="0.78740157480314965" top="0.78740157480314965" bottom="0.78740157480314965" header="0.31496062992125984" footer="0.19685039370078741"/>
  <pageSetup scale="79"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99"/>
  <sheetViews>
    <sheetView view="pageBreakPreview" zoomScale="60" zoomScaleNormal="55" workbookViewId="0">
      <selection activeCell="A5" sqref="A5:K5"/>
    </sheetView>
  </sheetViews>
  <sheetFormatPr defaultColWidth="9.1796875" defaultRowHeight="15.5"/>
  <cols>
    <col min="1" max="1" width="5.81640625" style="353" customWidth="1"/>
    <col min="2" max="2" width="51.453125" style="353" customWidth="1"/>
    <col min="3" max="3" width="19" style="353" customWidth="1"/>
    <col min="4" max="4" width="20.453125" style="353" customWidth="1"/>
    <col min="5" max="5" width="17.26953125" style="353" customWidth="1"/>
    <col min="6" max="6" width="18.7265625" style="353" customWidth="1"/>
    <col min="7" max="7" width="18.81640625" style="353" customWidth="1"/>
    <col min="8" max="8" width="20.1796875" style="353" customWidth="1"/>
    <col min="9" max="11" width="11.453125" style="353" customWidth="1"/>
    <col min="12" max="12" width="19.453125" style="413" customWidth="1"/>
    <col min="13" max="33" width="9.1796875" style="413"/>
    <col min="34" max="16384" width="9.1796875" style="353"/>
  </cols>
  <sheetData>
    <row r="1" spans="1:33" ht="21" customHeight="1">
      <c r="A1" s="349"/>
      <c r="B1" s="349"/>
      <c r="C1" s="350"/>
      <c r="D1" s="351"/>
      <c r="E1" s="350"/>
      <c r="F1" s="351"/>
      <c r="G1" s="351"/>
      <c r="H1" s="350"/>
      <c r="I1" s="511" t="s">
        <v>506</v>
      </c>
      <c r="J1" s="511"/>
      <c r="K1" s="511"/>
    </row>
    <row r="2" spans="1:33" ht="3.75" customHeight="1">
      <c r="A2" s="354"/>
      <c r="B2" s="354"/>
      <c r="C2" s="350"/>
      <c r="D2" s="350"/>
      <c r="E2" s="350"/>
      <c r="F2" s="350"/>
      <c r="G2" s="350"/>
      <c r="H2" s="350"/>
      <c r="I2" s="350"/>
      <c r="J2" s="350"/>
      <c r="K2" s="350"/>
    </row>
    <row r="3" spans="1:33" ht="21" customHeight="1">
      <c r="A3" s="351" t="s">
        <v>523</v>
      </c>
      <c r="B3" s="351"/>
      <c r="C3" s="355"/>
      <c r="D3" s="355"/>
      <c r="E3" s="355"/>
      <c r="F3" s="355"/>
      <c r="G3" s="355"/>
      <c r="H3" s="355"/>
      <c r="I3" s="355"/>
      <c r="J3" s="355"/>
      <c r="K3" s="355"/>
    </row>
    <row r="4" spans="1:33" ht="21" customHeight="1">
      <c r="A4" s="351" t="s">
        <v>580</v>
      </c>
      <c r="B4" s="351"/>
      <c r="C4" s="350"/>
      <c r="D4" s="350"/>
      <c r="E4" s="350"/>
      <c r="F4" s="350"/>
      <c r="G4" s="350"/>
      <c r="H4" s="350"/>
      <c r="I4" s="350"/>
      <c r="J4" s="350"/>
      <c r="K4" s="350"/>
    </row>
    <row r="5" spans="1:33" ht="21" customHeight="1">
      <c r="A5" s="510" t="str">
        <f>+'52,.'!A4:I4</f>
        <v>(Kèm theo Nghị quyết số     /NQ-HĐND ngày     tháng    năm 2025 của 
Hội đồng nhân dân huyện Ia H'Drai)</v>
      </c>
      <c r="B5" s="510"/>
      <c r="C5" s="510"/>
      <c r="D5" s="510"/>
      <c r="E5" s="510"/>
      <c r="F5" s="510"/>
      <c r="G5" s="510"/>
      <c r="H5" s="510"/>
      <c r="I5" s="510"/>
      <c r="J5" s="510"/>
      <c r="K5" s="510"/>
    </row>
    <row r="6" spans="1:33" ht="3.75" customHeight="1">
      <c r="A6" s="356"/>
      <c r="B6" s="356"/>
      <c r="C6" s="350"/>
      <c r="D6" s="350"/>
      <c r="E6" s="350"/>
      <c r="F6" s="350"/>
      <c r="G6" s="350"/>
      <c r="H6" s="350"/>
      <c r="I6" s="350"/>
      <c r="J6" s="350"/>
      <c r="K6" s="350"/>
    </row>
    <row r="7" spans="1:33" ht="19.5" customHeight="1">
      <c r="A7" s="357"/>
      <c r="B7" s="357"/>
      <c r="C7" s="358"/>
      <c r="D7" s="358"/>
      <c r="E7" s="358"/>
      <c r="F7" s="512" t="s">
        <v>124</v>
      </c>
      <c r="G7" s="512"/>
      <c r="H7" s="512"/>
      <c r="I7" s="512"/>
      <c r="J7" s="512"/>
      <c r="K7" s="512"/>
    </row>
    <row r="8" spans="1:33" s="359" customFormat="1" ht="21.75" customHeight="1">
      <c r="A8" s="509" t="s">
        <v>7</v>
      </c>
      <c r="B8" s="509" t="s">
        <v>480</v>
      </c>
      <c r="C8" s="508" t="s">
        <v>347</v>
      </c>
      <c r="D8" s="509" t="s">
        <v>20</v>
      </c>
      <c r="E8" s="509"/>
      <c r="F8" s="508" t="s">
        <v>29</v>
      </c>
      <c r="G8" s="509" t="s">
        <v>20</v>
      </c>
      <c r="H8" s="509"/>
      <c r="I8" s="509" t="s">
        <v>301</v>
      </c>
      <c r="J8" s="509"/>
      <c r="K8" s="509"/>
      <c r="L8" s="415"/>
      <c r="M8" s="415"/>
      <c r="N8" s="415"/>
      <c r="O8" s="415"/>
      <c r="P8" s="415"/>
      <c r="Q8" s="415"/>
      <c r="R8" s="415"/>
      <c r="S8" s="415"/>
      <c r="T8" s="415"/>
      <c r="U8" s="415"/>
      <c r="V8" s="415"/>
      <c r="W8" s="415"/>
      <c r="X8" s="415"/>
      <c r="Y8" s="415"/>
      <c r="Z8" s="415"/>
      <c r="AA8" s="415"/>
      <c r="AB8" s="415"/>
      <c r="AC8" s="415"/>
      <c r="AD8" s="415"/>
      <c r="AE8" s="415"/>
      <c r="AF8" s="415"/>
      <c r="AG8" s="415"/>
    </row>
    <row r="9" spans="1:33" s="359" customFormat="1" ht="21.75" customHeight="1">
      <c r="A9" s="509"/>
      <c r="B9" s="509"/>
      <c r="C9" s="508"/>
      <c r="D9" s="508" t="s">
        <v>0</v>
      </c>
      <c r="E9" s="508" t="s">
        <v>524</v>
      </c>
      <c r="F9" s="508"/>
      <c r="G9" s="508" t="s">
        <v>0</v>
      </c>
      <c r="H9" s="508" t="s">
        <v>524</v>
      </c>
      <c r="I9" s="362" t="s">
        <v>507</v>
      </c>
      <c r="J9" s="362" t="s">
        <v>507</v>
      </c>
      <c r="K9" s="362" t="s">
        <v>507</v>
      </c>
      <c r="L9" s="415"/>
      <c r="M9" s="415"/>
      <c r="N9" s="415"/>
      <c r="O9" s="415"/>
      <c r="P9" s="415"/>
      <c r="Q9" s="415"/>
      <c r="R9" s="415"/>
      <c r="S9" s="415"/>
      <c r="T9" s="415"/>
      <c r="U9" s="415"/>
      <c r="V9" s="415"/>
      <c r="W9" s="415"/>
      <c r="X9" s="415"/>
      <c r="Y9" s="415"/>
      <c r="Z9" s="415"/>
      <c r="AA9" s="415"/>
      <c r="AB9" s="415"/>
      <c r="AC9" s="415"/>
      <c r="AD9" s="415"/>
      <c r="AE9" s="415"/>
      <c r="AF9" s="415"/>
      <c r="AG9" s="415"/>
    </row>
    <row r="10" spans="1:33" s="359" customFormat="1" ht="21.75" customHeight="1">
      <c r="A10" s="509"/>
      <c r="B10" s="509"/>
      <c r="C10" s="508"/>
      <c r="D10" s="508"/>
      <c r="E10" s="508"/>
      <c r="F10" s="508"/>
      <c r="G10" s="508"/>
      <c r="H10" s="508"/>
      <c r="I10" s="362" t="s">
        <v>508</v>
      </c>
      <c r="J10" s="362" t="s">
        <v>508</v>
      </c>
      <c r="K10" s="362" t="s">
        <v>508</v>
      </c>
      <c r="L10" s="415"/>
      <c r="M10" s="415"/>
      <c r="N10" s="415"/>
      <c r="O10" s="415"/>
      <c r="P10" s="415"/>
      <c r="Q10" s="415"/>
      <c r="R10" s="415"/>
      <c r="S10" s="415"/>
      <c r="T10" s="415"/>
      <c r="U10" s="415"/>
      <c r="V10" s="415"/>
      <c r="W10" s="415"/>
      <c r="X10" s="415"/>
      <c r="Y10" s="415"/>
      <c r="Z10" s="415"/>
      <c r="AA10" s="415"/>
      <c r="AB10" s="415"/>
      <c r="AC10" s="415"/>
      <c r="AD10" s="415"/>
      <c r="AE10" s="415"/>
      <c r="AF10" s="415"/>
      <c r="AG10" s="415"/>
    </row>
    <row r="11" spans="1:33" s="359" customFormat="1" ht="21.75" customHeight="1">
      <c r="A11" s="509"/>
      <c r="B11" s="509"/>
      <c r="C11" s="508"/>
      <c r="D11" s="508"/>
      <c r="E11" s="508"/>
      <c r="F11" s="508"/>
      <c r="G11" s="508"/>
      <c r="H11" s="508"/>
      <c r="I11" s="362" t="s">
        <v>509</v>
      </c>
      <c r="J11" s="362" t="s">
        <v>510</v>
      </c>
      <c r="K11" s="362" t="s">
        <v>511</v>
      </c>
      <c r="L11" s="415"/>
      <c r="M11" s="415"/>
      <c r="N11" s="415"/>
      <c r="O11" s="415"/>
      <c r="P11" s="415"/>
      <c r="Q11" s="415"/>
      <c r="R11" s="415"/>
      <c r="S11" s="415"/>
      <c r="T11" s="415"/>
      <c r="U11" s="415"/>
      <c r="V11" s="415"/>
      <c r="W11" s="415"/>
      <c r="X11" s="415"/>
      <c r="Y11" s="415"/>
      <c r="Z11" s="415"/>
      <c r="AA11" s="415"/>
      <c r="AB11" s="415"/>
      <c r="AC11" s="415"/>
      <c r="AD11" s="415"/>
      <c r="AE11" s="415"/>
      <c r="AF11" s="415"/>
      <c r="AG11" s="415"/>
    </row>
    <row r="12" spans="1:33" s="359" customFormat="1" ht="21.75" customHeight="1">
      <c r="A12" s="509"/>
      <c r="B12" s="509"/>
      <c r="C12" s="508"/>
      <c r="D12" s="508"/>
      <c r="E12" s="508"/>
      <c r="F12" s="508"/>
      <c r="G12" s="508"/>
      <c r="H12" s="508"/>
      <c r="I12" s="362" t="s">
        <v>512</v>
      </c>
      <c r="J12" s="362" t="s">
        <v>513</v>
      </c>
      <c r="K12" s="362" t="s">
        <v>514</v>
      </c>
      <c r="L12" s="415"/>
      <c r="M12" s="415"/>
      <c r="N12" s="415"/>
      <c r="O12" s="415"/>
      <c r="P12" s="415"/>
      <c r="Q12" s="415"/>
      <c r="R12" s="415"/>
      <c r="S12" s="415"/>
      <c r="T12" s="415"/>
      <c r="U12" s="415"/>
      <c r="V12" s="415"/>
      <c r="W12" s="415"/>
      <c r="X12" s="415"/>
      <c r="Y12" s="415"/>
      <c r="Z12" s="415"/>
      <c r="AA12" s="415"/>
      <c r="AB12" s="415"/>
      <c r="AC12" s="415"/>
      <c r="AD12" s="415"/>
      <c r="AE12" s="415"/>
      <c r="AF12" s="415"/>
      <c r="AG12" s="415"/>
    </row>
    <row r="13" spans="1:33" s="360" customFormat="1" ht="17.25" customHeight="1">
      <c r="A13" s="362" t="s">
        <v>10</v>
      </c>
      <c r="B13" s="362" t="s">
        <v>11</v>
      </c>
      <c r="C13" s="362" t="s">
        <v>515</v>
      </c>
      <c r="D13" s="362">
        <v>2</v>
      </c>
      <c r="E13" s="362">
        <f>D13+1</f>
        <v>3</v>
      </c>
      <c r="F13" s="362" t="s">
        <v>516</v>
      </c>
      <c r="G13" s="362">
        <v>5</v>
      </c>
      <c r="H13" s="362">
        <f>G13+1</f>
        <v>6</v>
      </c>
      <c r="I13" s="362" t="s">
        <v>517</v>
      </c>
      <c r="J13" s="362" t="s">
        <v>518</v>
      </c>
      <c r="K13" s="362" t="s">
        <v>519</v>
      </c>
      <c r="L13" s="416"/>
      <c r="M13" s="416"/>
      <c r="N13" s="416"/>
      <c r="O13" s="416"/>
      <c r="P13" s="416"/>
      <c r="Q13" s="416"/>
      <c r="R13" s="416"/>
      <c r="S13" s="416"/>
      <c r="T13" s="416"/>
      <c r="U13" s="416"/>
      <c r="V13" s="416"/>
      <c r="W13" s="416"/>
      <c r="X13" s="416"/>
      <c r="Y13" s="416"/>
      <c r="Z13" s="416"/>
      <c r="AA13" s="416"/>
      <c r="AB13" s="416"/>
      <c r="AC13" s="416"/>
      <c r="AD13" s="416"/>
      <c r="AE13" s="416"/>
      <c r="AF13" s="416"/>
      <c r="AG13" s="416"/>
    </row>
    <row r="14" spans="1:33" s="358" customFormat="1" ht="18">
      <c r="A14" s="329"/>
      <c r="B14" s="330" t="s">
        <v>520</v>
      </c>
      <c r="C14" s="333">
        <f>+D14+E14</f>
        <v>307752000000</v>
      </c>
      <c r="D14" s="333">
        <f>+D15+D34+D42</f>
        <v>239914648000</v>
      </c>
      <c r="E14" s="333">
        <f>+E15+E34+E42</f>
        <v>67837352000</v>
      </c>
      <c r="F14" s="333">
        <f>+F15+F34+F42+F43</f>
        <v>504504511576</v>
      </c>
      <c r="G14" s="333">
        <f>+G15+G34+G42+G43</f>
        <v>398215409346</v>
      </c>
      <c r="H14" s="333">
        <f>+H15+H34+H42+H43</f>
        <v>106289102230</v>
      </c>
      <c r="I14" s="333">
        <f>+F14/C14%</f>
        <v>163.93216342249605</v>
      </c>
      <c r="J14" s="333">
        <f>+G14/D14%</f>
        <v>165.98211600068706</v>
      </c>
      <c r="K14" s="333">
        <f>+H14/E14%</f>
        <v>156.68226883325281</v>
      </c>
      <c r="L14" s="417"/>
      <c r="M14" s="417"/>
      <c r="N14" s="417"/>
      <c r="O14" s="417"/>
      <c r="P14" s="417"/>
      <c r="Q14" s="417"/>
      <c r="R14" s="417"/>
      <c r="S14" s="417"/>
      <c r="T14" s="417"/>
      <c r="U14" s="417"/>
      <c r="V14" s="417"/>
      <c r="W14" s="417"/>
      <c r="X14" s="417"/>
      <c r="Y14" s="417"/>
      <c r="Z14" s="417"/>
      <c r="AA14" s="417"/>
      <c r="AB14" s="417"/>
      <c r="AC14" s="417"/>
      <c r="AD14" s="417"/>
      <c r="AE14" s="417"/>
      <c r="AF14" s="417"/>
      <c r="AG14" s="417"/>
    </row>
    <row r="15" spans="1:33" s="358" customFormat="1" ht="18">
      <c r="A15" s="329" t="s">
        <v>10</v>
      </c>
      <c r="B15" s="330" t="s">
        <v>521</v>
      </c>
      <c r="C15" s="333">
        <f t="shared" ref="C15:C42" si="0">+D15+E15</f>
        <v>142380000000</v>
      </c>
      <c r="D15" s="333">
        <f>+D16+D26+D30+D31+D32+D33</f>
        <v>115091648000</v>
      </c>
      <c r="E15" s="333">
        <f>+E16+E26+E30+E31+E32+E33</f>
        <v>27288352000</v>
      </c>
      <c r="F15" s="333">
        <f>+F16+F26+F30+F31+F32+F33</f>
        <v>154234397108</v>
      </c>
      <c r="G15" s="333">
        <f>+G16+G26+G30+G31+G32+G33</f>
        <v>121047814741</v>
      </c>
      <c r="H15" s="333">
        <f>+H16+H26+H30+H31+H32+H33</f>
        <v>33186582367</v>
      </c>
      <c r="I15" s="333">
        <f t="shared" ref="I15:I41" si="1">+F15/C15%</f>
        <v>108.32588643629724</v>
      </c>
      <c r="J15" s="333">
        <f t="shared" ref="J15:J41" si="2">+G15/D15%</f>
        <v>105.17515114650196</v>
      </c>
      <c r="K15" s="333">
        <f>+H15/E15%</f>
        <v>121.61446160984731</v>
      </c>
      <c r="L15" s="417"/>
      <c r="M15" s="417"/>
      <c r="N15" s="417"/>
      <c r="O15" s="417"/>
      <c r="P15" s="417"/>
      <c r="Q15" s="417"/>
      <c r="R15" s="417"/>
      <c r="S15" s="417"/>
      <c r="T15" s="417"/>
      <c r="U15" s="417"/>
      <c r="V15" s="417"/>
      <c r="W15" s="417"/>
      <c r="X15" s="417"/>
      <c r="Y15" s="417"/>
      <c r="Z15" s="417"/>
      <c r="AA15" s="417"/>
      <c r="AB15" s="417"/>
      <c r="AC15" s="417"/>
      <c r="AD15" s="417"/>
      <c r="AE15" s="417"/>
      <c r="AF15" s="417"/>
      <c r="AG15" s="417"/>
    </row>
    <row r="16" spans="1:33" s="358" customFormat="1" ht="18">
      <c r="A16" s="329" t="s">
        <v>8</v>
      </c>
      <c r="B16" s="330" t="s">
        <v>72</v>
      </c>
      <c r="C16" s="334">
        <f>+D16+E16</f>
        <v>10584700000</v>
      </c>
      <c r="D16" s="334">
        <f>+D25+9524700000</f>
        <v>10054700000</v>
      </c>
      <c r="E16" s="334">
        <v>530000000</v>
      </c>
      <c r="F16" s="333">
        <f>+F17</f>
        <v>20988510649</v>
      </c>
      <c r="G16" s="333">
        <f>+G17</f>
        <v>19222378193</v>
      </c>
      <c r="H16" s="333">
        <f>+H17</f>
        <v>1766132456</v>
      </c>
      <c r="I16" s="333">
        <f t="shared" si="1"/>
        <v>198.29102996778369</v>
      </c>
      <c r="J16" s="333">
        <f t="shared" si="2"/>
        <v>191.17803806180194</v>
      </c>
      <c r="K16" s="333">
        <f>+H16/E16%</f>
        <v>333.23253886792452</v>
      </c>
      <c r="L16" s="417">
        <v>90946678646</v>
      </c>
      <c r="M16" s="417"/>
      <c r="N16" s="417"/>
      <c r="O16" s="417"/>
      <c r="P16" s="417"/>
      <c r="Q16" s="417"/>
      <c r="R16" s="417"/>
      <c r="S16" s="417"/>
      <c r="T16" s="417"/>
      <c r="U16" s="417"/>
      <c r="V16" s="417"/>
      <c r="W16" s="417"/>
      <c r="X16" s="417"/>
      <c r="Y16" s="417"/>
      <c r="Z16" s="417"/>
      <c r="AA16" s="417"/>
      <c r="AB16" s="417"/>
      <c r="AC16" s="417"/>
      <c r="AD16" s="417"/>
      <c r="AE16" s="417"/>
      <c r="AF16" s="417"/>
      <c r="AG16" s="417"/>
    </row>
    <row r="17" spans="1:33" s="358" customFormat="1" ht="18">
      <c r="A17" s="337">
        <v>1</v>
      </c>
      <c r="B17" s="338" t="s">
        <v>484</v>
      </c>
      <c r="C17" s="334">
        <f t="shared" si="0"/>
        <v>10054700000</v>
      </c>
      <c r="D17" s="334">
        <v>9524700000</v>
      </c>
      <c r="E17" s="334">
        <v>530000000</v>
      </c>
      <c r="F17" s="334">
        <f t="shared" ref="F17:F42" si="3">+G17+H17</f>
        <v>20988510649</v>
      </c>
      <c r="G17" s="334">
        <f>+'PL5137'!D13-H17</f>
        <v>19222378193</v>
      </c>
      <c r="H17" s="334">
        <v>1766132456</v>
      </c>
      <c r="I17" s="333">
        <f t="shared" si="1"/>
        <v>208.74328074432853</v>
      </c>
      <c r="J17" s="333">
        <f t="shared" si="2"/>
        <v>201.81610122103584</v>
      </c>
      <c r="K17" s="333">
        <f>+H17/E17%</f>
        <v>333.23253886792452</v>
      </c>
      <c r="L17" s="418">
        <v>24966829774</v>
      </c>
      <c r="M17" s="417"/>
      <c r="N17" s="417"/>
      <c r="O17" s="417"/>
      <c r="P17" s="417"/>
      <c r="Q17" s="417"/>
      <c r="R17" s="417"/>
      <c r="S17" s="417"/>
      <c r="T17" s="417"/>
      <c r="U17" s="417"/>
      <c r="V17" s="417"/>
      <c r="W17" s="417"/>
      <c r="X17" s="417"/>
      <c r="Y17" s="417"/>
      <c r="Z17" s="417"/>
      <c r="AA17" s="417"/>
      <c r="AB17" s="417"/>
      <c r="AC17" s="417"/>
      <c r="AD17" s="417"/>
      <c r="AE17" s="417"/>
      <c r="AF17" s="417"/>
      <c r="AG17" s="417"/>
    </row>
    <row r="18" spans="1:33" s="361" customFormat="1" ht="18">
      <c r="A18" s="339"/>
      <c r="B18" s="340" t="s">
        <v>485</v>
      </c>
      <c r="C18" s="334">
        <f t="shared" si="0"/>
        <v>0</v>
      </c>
      <c r="D18" s="334"/>
      <c r="E18" s="334"/>
      <c r="F18" s="334">
        <f t="shared" si="3"/>
        <v>0</v>
      </c>
      <c r="G18" s="333"/>
      <c r="H18" s="333"/>
      <c r="I18" s="333"/>
      <c r="J18" s="333"/>
      <c r="K18" s="333"/>
      <c r="L18" s="419">
        <f>+L17-G41</f>
        <v>20999394774</v>
      </c>
      <c r="M18" s="420"/>
      <c r="N18" s="420"/>
      <c r="O18" s="420"/>
      <c r="P18" s="420"/>
      <c r="Q18" s="420"/>
      <c r="R18" s="420"/>
      <c r="S18" s="420"/>
      <c r="T18" s="420"/>
      <c r="U18" s="420"/>
      <c r="V18" s="420"/>
      <c r="W18" s="420"/>
      <c r="X18" s="420"/>
      <c r="Y18" s="420"/>
      <c r="Z18" s="420"/>
      <c r="AA18" s="420"/>
      <c r="AB18" s="420"/>
      <c r="AC18" s="420"/>
      <c r="AD18" s="420"/>
      <c r="AE18" s="420"/>
      <c r="AF18" s="420"/>
      <c r="AG18" s="420"/>
    </row>
    <row r="19" spans="1:33" s="361" customFormat="1" ht="18">
      <c r="A19" s="341" t="s">
        <v>407</v>
      </c>
      <c r="B19" s="340" t="s">
        <v>486</v>
      </c>
      <c r="C19" s="334">
        <f t="shared" si="0"/>
        <v>0</v>
      </c>
      <c r="D19" s="334"/>
      <c r="E19" s="334"/>
      <c r="F19" s="334">
        <f t="shared" si="3"/>
        <v>4579495868</v>
      </c>
      <c r="G19" s="334">
        <f>+'PL5137'!D15</f>
        <v>4579495868</v>
      </c>
      <c r="H19" s="333"/>
      <c r="I19" s="333"/>
      <c r="J19" s="333"/>
      <c r="K19" s="333"/>
      <c r="L19" s="420"/>
      <c r="M19" s="420"/>
      <c r="N19" s="420"/>
      <c r="O19" s="420"/>
      <c r="P19" s="420"/>
      <c r="Q19" s="420"/>
      <c r="R19" s="420"/>
      <c r="S19" s="420"/>
      <c r="T19" s="420"/>
      <c r="U19" s="420"/>
      <c r="V19" s="420"/>
      <c r="W19" s="420"/>
      <c r="X19" s="420"/>
      <c r="Y19" s="420"/>
      <c r="Z19" s="420"/>
      <c r="AA19" s="420"/>
      <c r="AB19" s="420"/>
      <c r="AC19" s="420"/>
      <c r="AD19" s="420"/>
      <c r="AE19" s="420"/>
      <c r="AF19" s="420"/>
      <c r="AG19" s="420"/>
    </row>
    <row r="20" spans="1:33" s="358" customFormat="1" ht="18">
      <c r="A20" s="341" t="s">
        <v>407</v>
      </c>
      <c r="B20" s="340" t="s">
        <v>487</v>
      </c>
      <c r="C20" s="334">
        <f t="shared" si="0"/>
        <v>0</v>
      </c>
      <c r="D20" s="334"/>
      <c r="E20" s="334"/>
      <c r="F20" s="334">
        <f t="shared" si="3"/>
        <v>0</v>
      </c>
      <c r="G20" s="333"/>
      <c r="H20" s="333"/>
      <c r="I20" s="333"/>
      <c r="J20" s="333"/>
      <c r="K20" s="333"/>
      <c r="L20" s="417"/>
      <c r="M20" s="417"/>
      <c r="N20" s="417"/>
      <c r="O20" s="417"/>
      <c r="P20" s="417"/>
      <c r="Q20" s="417"/>
      <c r="R20" s="417"/>
      <c r="S20" s="417"/>
      <c r="T20" s="417"/>
      <c r="U20" s="417"/>
      <c r="V20" s="417"/>
      <c r="W20" s="417"/>
      <c r="X20" s="417"/>
      <c r="Y20" s="417"/>
      <c r="Z20" s="417"/>
      <c r="AA20" s="417"/>
      <c r="AB20" s="417"/>
      <c r="AC20" s="417"/>
      <c r="AD20" s="417"/>
      <c r="AE20" s="417"/>
      <c r="AF20" s="417"/>
      <c r="AG20" s="417"/>
    </row>
    <row r="21" spans="1:33" s="361" customFormat="1" ht="18">
      <c r="A21" s="337"/>
      <c r="B21" s="340" t="s">
        <v>488</v>
      </c>
      <c r="C21" s="334">
        <f t="shared" si="0"/>
        <v>0</v>
      </c>
      <c r="D21" s="334"/>
      <c r="E21" s="334"/>
      <c r="F21" s="334">
        <f t="shared" si="3"/>
        <v>0</v>
      </c>
      <c r="G21" s="333"/>
      <c r="H21" s="333"/>
      <c r="I21" s="333"/>
      <c r="J21" s="333"/>
      <c r="K21" s="333"/>
      <c r="L21" s="420"/>
      <c r="M21" s="420"/>
      <c r="N21" s="420"/>
      <c r="O21" s="420"/>
      <c r="P21" s="420"/>
      <c r="Q21" s="420"/>
      <c r="R21" s="420"/>
      <c r="S21" s="420"/>
      <c r="T21" s="420"/>
      <c r="U21" s="420"/>
      <c r="V21" s="420"/>
      <c r="W21" s="420"/>
      <c r="X21" s="420"/>
      <c r="Y21" s="420"/>
      <c r="Z21" s="420"/>
      <c r="AA21" s="420"/>
      <c r="AB21" s="420"/>
      <c r="AC21" s="420"/>
      <c r="AD21" s="420"/>
      <c r="AE21" s="420"/>
      <c r="AF21" s="420"/>
      <c r="AG21" s="420"/>
    </row>
    <row r="22" spans="1:33" s="361" customFormat="1" ht="18">
      <c r="A22" s="342" t="s">
        <v>407</v>
      </c>
      <c r="B22" s="340" t="s">
        <v>489</v>
      </c>
      <c r="C22" s="334">
        <f>+D22+E22</f>
        <v>4128700000</v>
      </c>
      <c r="D22" s="336">
        <v>3598700000</v>
      </c>
      <c r="E22" s="336">
        <v>530000000</v>
      </c>
      <c r="F22" s="334">
        <f t="shared" si="3"/>
        <v>9962171004</v>
      </c>
      <c r="G22" s="336">
        <f>+'PL5137'!D18-H22</f>
        <v>8255226548</v>
      </c>
      <c r="H22" s="336">
        <v>1706944456.0000002</v>
      </c>
      <c r="I22" s="335">
        <f t="shared" si="1"/>
        <v>241.29074536779132</v>
      </c>
      <c r="J22" s="335">
        <f t="shared" si="2"/>
        <v>229.39468552532858</v>
      </c>
      <c r="K22" s="335">
        <f>+H22/E22%</f>
        <v>322.06499169811326</v>
      </c>
      <c r="L22" s="420"/>
      <c r="M22" s="420"/>
      <c r="N22" s="420"/>
      <c r="O22" s="420"/>
      <c r="P22" s="420"/>
      <c r="Q22" s="420"/>
      <c r="R22" s="420"/>
      <c r="S22" s="420"/>
      <c r="T22" s="420"/>
      <c r="U22" s="420"/>
      <c r="V22" s="420"/>
      <c r="W22" s="420"/>
      <c r="X22" s="420"/>
      <c r="Y22" s="420"/>
      <c r="Z22" s="420"/>
      <c r="AA22" s="420"/>
      <c r="AB22" s="420"/>
      <c r="AC22" s="420"/>
      <c r="AD22" s="420"/>
      <c r="AE22" s="420"/>
      <c r="AF22" s="420"/>
      <c r="AG22" s="420"/>
    </row>
    <row r="23" spans="1:33" s="361" customFormat="1" ht="18">
      <c r="A23" s="342" t="s">
        <v>407</v>
      </c>
      <c r="B23" s="340" t="s">
        <v>490</v>
      </c>
      <c r="C23" s="334">
        <f t="shared" si="0"/>
        <v>0</v>
      </c>
      <c r="D23" s="336"/>
      <c r="E23" s="336"/>
      <c r="F23" s="334">
        <f t="shared" si="3"/>
        <v>0</v>
      </c>
      <c r="G23" s="335"/>
      <c r="H23" s="335"/>
      <c r="I23" s="335"/>
      <c r="J23" s="335"/>
      <c r="K23" s="335"/>
      <c r="L23" s="420"/>
      <c r="M23" s="420"/>
      <c r="N23" s="420"/>
      <c r="O23" s="420"/>
      <c r="P23" s="420"/>
      <c r="Q23" s="420"/>
      <c r="R23" s="420"/>
      <c r="S23" s="420"/>
      <c r="T23" s="420"/>
      <c r="U23" s="420"/>
      <c r="V23" s="420"/>
      <c r="W23" s="420"/>
      <c r="X23" s="420"/>
      <c r="Y23" s="420"/>
      <c r="Z23" s="420"/>
      <c r="AA23" s="420"/>
      <c r="AB23" s="420"/>
      <c r="AC23" s="420"/>
      <c r="AD23" s="420"/>
      <c r="AE23" s="420"/>
      <c r="AF23" s="420"/>
      <c r="AG23" s="420"/>
    </row>
    <row r="24" spans="1:33" s="358" customFormat="1" ht="62">
      <c r="A24" s="343">
        <v>2</v>
      </c>
      <c r="B24" s="344" t="s">
        <v>491</v>
      </c>
      <c r="C24" s="334">
        <f t="shared" si="0"/>
        <v>0</v>
      </c>
      <c r="D24" s="334"/>
      <c r="E24" s="334"/>
      <c r="F24" s="334">
        <f t="shared" si="3"/>
        <v>0</v>
      </c>
      <c r="G24" s="333"/>
      <c r="H24" s="333"/>
      <c r="I24" s="333"/>
      <c r="J24" s="333"/>
      <c r="K24" s="333"/>
      <c r="L24" s="417"/>
      <c r="M24" s="417"/>
      <c r="N24" s="417"/>
      <c r="O24" s="417"/>
      <c r="P24" s="417"/>
      <c r="Q24" s="417"/>
      <c r="R24" s="417"/>
      <c r="S24" s="417"/>
      <c r="T24" s="417"/>
      <c r="U24" s="417"/>
      <c r="V24" s="417"/>
      <c r="W24" s="417"/>
      <c r="X24" s="417"/>
      <c r="Y24" s="417"/>
      <c r="Z24" s="417"/>
      <c r="AA24" s="417"/>
      <c r="AB24" s="417"/>
      <c r="AC24" s="417"/>
      <c r="AD24" s="417"/>
      <c r="AE24" s="417"/>
      <c r="AF24" s="417"/>
      <c r="AG24" s="417"/>
    </row>
    <row r="25" spans="1:33" s="358" customFormat="1" ht="18">
      <c r="A25" s="337">
        <v>3</v>
      </c>
      <c r="B25" s="338" t="s">
        <v>275</v>
      </c>
      <c r="C25" s="334">
        <f t="shared" si="0"/>
        <v>530000000</v>
      </c>
      <c r="D25" s="334">
        <v>530000000</v>
      </c>
      <c r="E25" s="333"/>
      <c r="F25" s="334">
        <f t="shared" si="3"/>
        <v>0</v>
      </c>
      <c r="G25" s="333"/>
      <c r="H25" s="333"/>
      <c r="I25" s="333">
        <f t="shared" si="1"/>
        <v>0</v>
      </c>
      <c r="J25" s="333">
        <f t="shared" si="2"/>
        <v>0</v>
      </c>
      <c r="K25" s="333"/>
      <c r="L25" s="417"/>
      <c r="M25" s="417"/>
      <c r="N25" s="417"/>
      <c r="O25" s="417"/>
      <c r="P25" s="417"/>
      <c r="Q25" s="417"/>
      <c r="R25" s="417"/>
      <c r="S25" s="417"/>
      <c r="T25" s="417"/>
      <c r="U25" s="417"/>
      <c r="V25" s="417"/>
      <c r="W25" s="417"/>
      <c r="X25" s="417"/>
      <c r="Y25" s="417"/>
      <c r="Z25" s="417"/>
      <c r="AA25" s="417"/>
      <c r="AB25" s="417"/>
      <c r="AC25" s="417"/>
      <c r="AD25" s="417"/>
      <c r="AE25" s="417"/>
      <c r="AF25" s="417"/>
      <c r="AG25" s="417"/>
    </row>
    <row r="26" spans="1:33" s="363" customFormat="1" ht="17.5">
      <c r="A26" s="329" t="s">
        <v>9</v>
      </c>
      <c r="B26" s="330" t="s">
        <v>34</v>
      </c>
      <c r="C26" s="333">
        <f t="shared" si="0"/>
        <v>128948000000</v>
      </c>
      <c r="D26" s="333">
        <v>102729648000</v>
      </c>
      <c r="E26" s="333">
        <v>26218352000</v>
      </c>
      <c r="F26" s="333">
        <f t="shared" si="3"/>
        <v>133245886459</v>
      </c>
      <c r="G26" s="333">
        <f>+'PL5137'!D22-H26</f>
        <v>101825436548</v>
      </c>
      <c r="H26" s="333">
        <f>47373971230-H35-H39</f>
        <v>31420449911</v>
      </c>
      <c r="I26" s="333">
        <f t="shared" si="1"/>
        <v>103.33303847985235</v>
      </c>
      <c r="J26" s="333">
        <f t="shared" si="2"/>
        <v>99.119814513527785</v>
      </c>
      <c r="K26" s="333">
        <f>+H26/E26%</f>
        <v>119.84143744427567</v>
      </c>
      <c r="L26" s="421"/>
      <c r="M26" s="422"/>
      <c r="N26" s="422"/>
      <c r="O26" s="422"/>
      <c r="P26" s="422"/>
      <c r="Q26" s="422"/>
      <c r="R26" s="422"/>
      <c r="S26" s="422"/>
      <c r="T26" s="422"/>
      <c r="U26" s="422"/>
      <c r="V26" s="422"/>
      <c r="W26" s="422"/>
      <c r="X26" s="422"/>
      <c r="Y26" s="422"/>
      <c r="Z26" s="422"/>
      <c r="AA26" s="422"/>
      <c r="AB26" s="422"/>
      <c r="AC26" s="422"/>
      <c r="AD26" s="422"/>
      <c r="AE26" s="422"/>
      <c r="AF26" s="422"/>
      <c r="AG26" s="422"/>
    </row>
    <row r="27" spans="1:33" s="358" customFormat="1" ht="18">
      <c r="A27" s="329"/>
      <c r="B27" s="340" t="s">
        <v>51</v>
      </c>
      <c r="C27" s="334">
        <f t="shared" si="0"/>
        <v>0</v>
      </c>
      <c r="D27" s="334"/>
      <c r="E27" s="333"/>
      <c r="F27" s="334">
        <f t="shared" si="3"/>
        <v>0</v>
      </c>
      <c r="G27" s="333"/>
      <c r="H27" s="333"/>
      <c r="I27" s="333"/>
      <c r="J27" s="333"/>
      <c r="K27" s="333"/>
      <c r="L27" s="423"/>
      <c r="M27" s="417"/>
      <c r="N27" s="417"/>
      <c r="O27" s="417"/>
      <c r="P27" s="417"/>
      <c r="Q27" s="417"/>
      <c r="R27" s="417"/>
      <c r="S27" s="417"/>
      <c r="T27" s="417"/>
      <c r="U27" s="417"/>
      <c r="V27" s="417"/>
      <c r="W27" s="417"/>
      <c r="X27" s="417"/>
      <c r="Y27" s="417"/>
      <c r="Z27" s="417"/>
      <c r="AA27" s="417"/>
      <c r="AB27" s="417"/>
      <c r="AC27" s="417"/>
      <c r="AD27" s="417"/>
      <c r="AE27" s="417"/>
      <c r="AF27" s="417"/>
      <c r="AG27" s="417"/>
    </row>
    <row r="28" spans="1:33" s="358" customFormat="1" ht="18">
      <c r="A28" s="337">
        <v>1</v>
      </c>
      <c r="B28" s="340" t="s">
        <v>492</v>
      </c>
      <c r="C28" s="334">
        <f t="shared" si="0"/>
        <v>0</v>
      </c>
      <c r="D28" s="334"/>
      <c r="E28" s="333"/>
      <c r="F28" s="334">
        <f t="shared" si="3"/>
        <v>40908432040</v>
      </c>
      <c r="G28" s="334">
        <f>+'PL5137'!D24</f>
        <v>40908432040</v>
      </c>
      <c r="H28" s="334"/>
      <c r="I28" s="334" t="e">
        <f t="shared" si="1"/>
        <v>#DIV/0!</v>
      </c>
      <c r="J28" s="334" t="e">
        <f t="shared" si="2"/>
        <v>#DIV/0!</v>
      </c>
      <c r="K28" s="334"/>
      <c r="L28" s="417"/>
      <c r="M28" s="417"/>
      <c r="N28" s="417"/>
      <c r="O28" s="417"/>
      <c r="P28" s="417"/>
      <c r="Q28" s="417"/>
      <c r="R28" s="417"/>
      <c r="S28" s="417"/>
      <c r="T28" s="417"/>
      <c r="U28" s="417"/>
      <c r="V28" s="417"/>
      <c r="W28" s="417"/>
      <c r="X28" s="417"/>
      <c r="Y28" s="417"/>
      <c r="Z28" s="417"/>
      <c r="AA28" s="417"/>
      <c r="AB28" s="417"/>
      <c r="AC28" s="417"/>
      <c r="AD28" s="417"/>
      <c r="AE28" s="417"/>
      <c r="AF28" s="417"/>
      <c r="AG28" s="417"/>
    </row>
    <row r="29" spans="1:33" s="358" customFormat="1" ht="18">
      <c r="A29" s="337">
        <f>A28+1</f>
        <v>2</v>
      </c>
      <c r="B29" s="340" t="s">
        <v>493</v>
      </c>
      <c r="C29" s="334">
        <f t="shared" si="0"/>
        <v>0</v>
      </c>
      <c r="D29" s="334"/>
      <c r="E29" s="333"/>
      <c r="F29" s="334">
        <f t="shared" si="3"/>
        <v>189782631</v>
      </c>
      <c r="G29" s="334">
        <f>+'PL5137'!D25</f>
        <v>189782631</v>
      </c>
      <c r="H29" s="334"/>
      <c r="I29" s="334" t="e">
        <f t="shared" si="1"/>
        <v>#DIV/0!</v>
      </c>
      <c r="J29" s="334" t="e">
        <f t="shared" si="2"/>
        <v>#DIV/0!</v>
      </c>
      <c r="K29" s="334"/>
      <c r="L29" s="417"/>
      <c r="M29" s="417"/>
      <c r="N29" s="417"/>
      <c r="O29" s="417"/>
      <c r="P29" s="417"/>
      <c r="Q29" s="417"/>
      <c r="R29" s="417"/>
      <c r="S29" s="417"/>
      <c r="T29" s="417"/>
      <c r="U29" s="417"/>
      <c r="V29" s="417"/>
      <c r="W29" s="417"/>
      <c r="X29" s="417"/>
      <c r="Y29" s="417"/>
      <c r="Z29" s="417"/>
      <c r="AA29" s="417"/>
      <c r="AB29" s="417"/>
      <c r="AC29" s="417"/>
      <c r="AD29" s="417"/>
      <c r="AE29" s="417"/>
      <c r="AF29" s="417"/>
      <c r="AG29" s="417"/>
    </row>
    <row r="30" spans="1:33">
      <c r="A30" s="329" t="s">
        <v>12</v>
      </c>
      <c r="B30" s="330" t="s">
        <v>522</v>
      </c>
      <c r="C30" s="334">
        <f t="shared" si="0"/>
        <v>0</v>
      </c>
      <c r="D30" s="365"/>
      <c r="E30" s="333"/>
      <c r="F30" s="334">
        <f t="shared" si="3"/>
        <v>0</v>
      </c>
      <c r="G30" s="333"/>
      <c r="H30" s="333"/>
      <c r="I30" s="333"/>
      <c r="J30" s="333"/>
      <c r="K30" s="333"/>
    </row>
    <row r="31" spans="1:33">
      <c r="A31" s="329" t="s">
        <v>13</v>
      </c>
      <c r="B31" s="330" t="s">
        <v>495</v>
      </c>
      <c r="C31" s="334">
        <f t="shared" si="0"/>
        <v>0</v>
      </c>
      <c r="D31" s="365"/>
      <c r="E31" s="333"/>
      <c r="F31" s="334">
        <f t="shared" si="3"/>
        <v>0</v>
      </c>
      <c r="G31" s="333"/>
      <c r="H31" s="333"/>
      <c r="I31" s="333"/>
      <c r="J31" s="333"/>
      <c r="K31" s="333"/>
    </row>
    <row r="32" spans="1:33" s="364" customFormat="1" ht="15">
      <c r="A32" s="329" t="s">
        <v>15</v>
      </c>
      <c r="B32" s="330" t="s">
        <v>496</v>
      </c>
      <c r="C32" s="333">
        <f t="shared" si="0"/>
        <v>2847300000</v>
      </c>
      <c r="D32" s="366">
        <v>2307300000</v>
      </c>
      <c r="E32" s="333">
        <v>540000000</v>
      </c>
      <c r="F32" s="333">
        <f t="shared" si="3"/>
        <v>0</v>
      </c>
      <c r="G32" s="333"/>
      <c r="H32" s="333"/>
      <c r="I32" s="333"/>
      <c r="J32" s="333">
        <f t="shared" si="2"/>
        <v>0</v>
      </c>
      <c r="K32" s="333">
        <f>+H32/E32%</f>
        <v>0</v>
      </c>
      <c r="L32" s="424"/>
      <c r="M32" s="424"/>
      <c r="N32" s="424"/>
      <c r="O32" s="424"/>
      <c r="P32" s="424"/>
      <c r="Q32" s="424"/>
      <c r="R32" s="424"/>
      <c r="S32" s="424"/>
      <c r="T32" s="424"/>
      <c r="U32" s="424"/>
      <c r="V32" s="424"/>
      <c r="W32" s="424"/>
      <c r="X32" s="424"/>
      <c r="Y32" s="424"/>
      <c r="Z32" s="424"/>
      <c r="AA32" s="424"/>
      <c r="AB32" s="424"/>
      <c r="AC32" s="424"/>
      <c r="AD32" s="424"/>
      <c r="AE32" s="424"/>
      <c r="AF32" s="424"/>
      <c r="AG32" s="424"/>
    </row>
    <row r="33" spans="1:33">
      <c r="A33" s="329" t="s">
        <v>16</v>
      </c>
      <c r="B33" s="330" t="s">
        <v>497</v>
      </c>
      <c r="C33" s="334">
        <f t="shared" si="0"/>
        <v>0</v>
      </c>
      <c r="D33" s="365"/>
      <c r="E33" s="333"/>
      <c r="F33" s="334">
        <f t="shared" si="3"/>
        <v>0</v>
      </c>
      <c r="G33" s="333"/>
      <c r="H33" s="333"/>
      <c r="I33" s="333"/>
      <c r="J33" s="333"/>
      <c r="K33" s="333"/>
    </row>
    <row r="34" spans="1:33" s="361" customFormat="1" ht="18">
      <c r="A34" s="329" t="s">
        <v>11</v>
      </c>
      <c r="B34" s="346" t="s">
        <v>498</v>
      </c>
      <c r="C34" s="333">
        <f t="shared" ref="C34:H34" si="4">+C35+C39</f>
        <v>165372000000</v>
      </c>
      <c r="D34" s="333">
        <f t="shared" si="4"/>
        <v>124823000000</v>
      </c>
      <c r="E34" s="333">
        <f t="shared" si="4"/>
        <v>40549000000</v>
      </c>
      <c r="F34" s="333">
        <f t="shared" si="4"/>
        <v>177261884919</v>
      </c>
      <c r="G34" s="333">
        <f t="shared" si="4"/>
        <v>161308363600</v>
      </c>
      <c r="H34" s="333">
        <f t="shared" si="4"/>
        <v>15953521319</v>
      </c>
      <c r="I34" s="333">
        <f t="shared" si="1"/>
        <v>107.18978117154053</v>
      </c>
      <c r="J34" s="333">
        <f t="shared" si="2"/>
        <v>129.22968010703156</v>
      </c>
      <c r="K34" s="333">
        <f t="shared" ref="K34:K40" si="5">+H34/E34%</f>
        <v>39.343809511948507</v>
      </c>
      <c r="L34" s="420"/>
      <c r="M34" s="420"/>
      <c r="N34" s="420"/>
      <c r="O34" s="420"/>
      <c r="P34" s="420"/>
      <c r="Q34" s="420"/>
      <c r="R34" s="420"/>
      <c r="S34" s="420"/>
      <c r="T34" s="420"/>
      <c r="U34" s="420"/>
      <c r="V34" s="420"/>
      <c r="W34" s="420"/>
      <c r="X34" s="420"/>
      <c r="Y34" s="420"/>
      <c r="Z34" s="420"/>
      <c r="AA34" s="420"/>
      <c r="AB34" s="420"/>
      <c r="AC34" s="420"/>
      <c r="AD34" s="420"/>
      <c r="AE34" s="420"/>
      <c r="AF34" s="420"/>
      <c r="AG34" s="420"/>
    </row>
    <row r="35" spans="1:33">
      <c r="A35" s="329" t="s">
        <v>8</v>
      </c>
      <c r="B35" s="330" t="s">
        <v>465</v>
      </c>
      <c r="C35" s="333">
        <f t="shared" ref="C35:H35" si="6">SUM(C36:C38)</f>
        <v>141060000000</v>
      </c>
      <c r="D35" s="333">
        <f t="shared" si="6"/>
        <v>101074000000</v>
      </c>
      <c r="E35" s="333">
        <f t="shared" si="6"/>
        <v>39986000000</v>
      </c>
      <c r="F35" s="333">
        <f t="shared" si="6"/>
        <v>159342552087</v>
      </c>
      <c r="G35" s="333">
        <f t="shared" si="6"/>
        <v>144650697768</v>
      </c>
      <c r="H35" s="333">
        <f t="shared" si="6"/>
        <v>14691854319</v>
      </c>
      <c r="I35" s="333">
        <f t="shared" si="1"/>
        <v>112.96083374946831</v>
      </c>
      <c r="J35" s="333">
        <f t="shared" si="2"/>
        <v>143.11365709084433</v>
      </c>
      <c r="K35" s="333">
        <f t="shared" si="5"/>
        <v>36.742495670984844</v>
      </c>
    </row>
    <row r="36" spans="1:33">
      <c r="A36" s="339"/>
      <c r="B36" s="367" t="s">
        <v>500</v>
      </c>
      <c r="C36" s="334">
        <f>+D36+E36</f>
        <v>3743000000</v>
      </c>
      <c r="D36" s="365">
        <v>2848000000</v>
      </c>
      <c r="E36" s="334">
        <v>895000000</v>
      </c>
      <c r="F36" s="334">
        <f t="shared" si="3"/>
        <v>1991659614</v>
      </c>
      <c r="G36" s="334">
        <f>+'PL5137'!D32-'PL5338'!H36</f>
        <v>1153184000</v>
      </c>
      <c r="H36" s="334">
        <v>838475614</v>
      </c>
      <c r="I36" s="334">
        <f t="shared" si="1"/>
        <v>53.210248837830619</v>
      </c>
      <c r="J36" s="334">
        <f t="shared" si="2"/>
        <v>40.491011235955057</v>
      </c>
      <c r="K36" s="334">
        <f t="shared" si="5"/>
        <v>93.684426145251393</v>
      </c>
    </row>
    <row r="37" spans="1:33">
      <c r="A37" s="339"/>
      <c r="B37" s="367" t="s">
        <v>501</v>
      </c>
      <c r="C37" s="334">
        <f>+D37+E37</f>
        <v>73199000000</v>
      </c>
      <c r="D37" s="365">
        <v>46261000000</v>
      </c>
      <c r="E37" s="334">
        <v>26938000000</v>
      </c>
      <c r="F37" s="334">
        <f t="shared" si="3"/>
        <v>91320759616</v>
      </c>
      <c r="G37" s="334">
        <f>+'PL5137'!D33-H37</f>
        <v>79542234246</v>
      </c>
      <c r="H37" s="334">
        <v>11778525370</v>
      </c>
      <c r="I37" s="334">
        <f t="shared" si="1"/>
        <v>124.75684041585268</v>
      </c>
      <c r="J37" s="334">
        <f t="shared" si="2"/>
        <v>171.94231479215753</v>
      </c>
      <c r="K37" s="334">
        <f t="shared" si="5"/>
        <v>43.72457261118123</v>
      </c>
    </row>
    <row r="38" spans="1:33" ht="31">
      <c r="A38" s="339"/>
      <c r="B38" s="367" t="s">
        <v>502</v>
      </c>
      <c r="C38" s="334">
        <f>+D38+E38</f>
        <v>64118000000</v>
      </c>
      <c r="D38" s="365">
        <v>51965000000</v>
      </c>
      <c r="E38" s="334">
        <v>12153000000</v>
      </c>
      <c r="F38" s="334">
        <f t="shared" si="3"/>
        <v>66030132857</v>
      </c>
      <c r="G38" s="334">
        <f>+'PL5137'!D34-H38</f>
        <v>63955279522</v>
      </c>
      <c r="H38" s="334">
        <v>2074853335</v>
      </c>
      <c r="I38" s="334">
        <f t="shared" si="1"/>
        <v>102.98220914095886</v>
      </c>
      <c r="J38" s="334">
        <f t="shared" si="2"/>
        <v>123.07376026556337</v>
      </c>
      <c r="K38" s="334">
        <f t="shared" si="5"/>
        <v>17.072766683123508</v>
      </c>
    </row>
    <row r="39" spans="1:33">
      <c r="A39" s="329" t="s">
        <v>9</v>
      </c>
      <c r="B39" s="330" t="s">
        <v>466</v>
      </c>
      <c r="C39" s="333">
        <f t="shared" ref="C39:H39" si="7">+C40+C41</f>
        <v>24312000000</v>
      </c>
      <c r="D39" s="333">
        <f t="shared" si="7"/>
        <v>23749000000</v>
      </c>
      <c r="E39" s="333">
        <f t="shared" si="7"/>
        <v>563000000</v>
      </c>
      <c r="F39" s="333">
        <f t="shared" si="7"/>
        <v>17919332832</v>
      </c>
      <c r="G39" s="333">
        <f t="shared" si="7"/>
        <v>16657665832</v>
      </c>
      <c r="H39" s="333">
        <f t="shared" si="7"/>
        <v>1261667000</v>
      </c>
      <c r="I39" s="334">
        <f t="shared" si="1"/>
        <v>73.705712537018755</v>
      </c>
      <c r="J39" s="334">
        <f t="shared" si="2"/>
        <v>70.140493629205437</v>
      </c>
      <c r="K39" s="334">
        <f t="shared" si="5"/>
        <v>224.09715808170515</v>
      </c>
    </row>
    <row r="40" spans="1:33">
      <c r="A40" s="329"/>
      <c r="B40" s="338" t="s">
        <v>503</v>
      </c>
      <c r="C40" s="334">
        <f t="shared" si="0"/>
        <v>20362000000</v>
      </c>
      <c r="D40" s="365">
        <f>+'PL5137'!C36-563000000</f>
        <v>19799000000</v>
      </c>
      <c r="E40" s="334">
        <v>563000000</v>
      </c>
      <c r="F40" s="334">
        <f t="shared" si="3"/>
        <v>13951897832</v>
      </c>
      <c r="G40" s="334">
        <f>+'PL5137'!D36-H40</f>
        <v>12690230832</v>
      </c>
      <c r="H40" s="334">
        <v>1261667000</v>
      </c>
      <c r="I40" s="334">
        <f t="shared" si="1"/>
        <v>68.51929001080444</v>
      </c>
      <c r="J40" s="334">
        <f t="shared" si="2"/>
        <v>64.095312046062929</v>
      </c>
      <c r="K40" s="334">
        <f t="shared" si="5"/>
        <v>224.09715808170515</v>
      </c>
    </row>
    <row r="41" spans="1:33">
      <c r="A41" s="329"/>
      <c r="B41" s="338" t="s">
        <v>504</v>
      </c>
      <c r="C41" s="334">
        <f t="shared" si="0"/>
        <v>3950000000</v>
      </c>
      <c r="D41" s="365">
        <f>+'PL5137'!C37</f>
        <v>3950000000</v>
      </c>
      <c r="E41" s="333"/>
      <c r="F41" s="334">
        <f t="shared" si="3"/>
        <v>3967435000</v>
      </c>
      <c r="G41" s="334">
        <f>+'PL5137'!D37</f>
        <v>3967435000</v>
      </c>
      <c r="H41" s="334"/>
      <c r="I41" s="334">
        <f t="shared" si="1"/>
        <v>100.4413924050633</v>
      </c>
      <c r="J41" s="334">
        <f t="shared" si="2"/>
        <v>100.4413924050633</v>
      </c>
      <c r="K41" s="334"/>
    </row>
    <row r="42" spans="1:33" s="358" customFormat="1" ht="18">
      <c r="A42" s="329" t="s">
        <v>18</v>
      </c>
      <c r="B42" s="330" t="s">
        <v>499</v>
      </c>
      <c r="C42" s="334">
        <f t="shared" si="0"/>
        <v>0</v>
      </c>
      <c r="D42" s="334"/>
      <c r="E42" s="333"/>
      <c r="F42" s="333">
        <f t="shared" si="3"/>
        <v>172828515271</v>
      </c>
      <c r="G42" s="333">
        <v>115679516727</v>
      </c>
      <c r="H42" s="333">
        <v>57148998544</v>
      </c>
      <c r="I42" s="333"/>
      <c r="J42" s="333"/>
      <c r="K42" s="333"/>
      <c r="L42" s="417"/>
      <c r="M42" s="417"/>
      <c r="N42" s="417"/>
      <c r="O42" s="417"/>
      <c r="P42" s="417"/>
      <c r="Q42" s="417"/>
      <c r="R42" s="417"/>
      <c r="S42" s="417"/>
      <c r="T42" s="417"/>
      <c r="U42" s="417"/>
      <c r="V42" s="417"/>
      <c r="W42" s="417"/>
      <c r="X42" s="417"/>
      <c r="Y42" s="417"/>
      <c r="Z42" s="417"/>
      <c r="AA42" s="417"/>
      <c r="AB42" s="417"/>
      <c r="AC42" s="417"/>
      <c r="AD42" s="417"/>
      <c r="AE42" s="417"/>
      <c r="AF42" s="417"/>
      <c r="AG42" s="417"/>
    </row>
    <row r="43" spans="1:33" s="358" customFormat="1" ht="18">
      <c r="A43" s="329" t="s">
        <v>242</v>
      </c>
      <c r="B43" s="330" t="s">
        <v>525</v>
      </c>
      <c r="C43" s="334">
        <f>+D43+E43</f>
        <v>0</v>
      </c>
      <c r="D43" s="334"/>
      <c r="E43" s="333"/>
      <c r="F43" s="333">
        <f>+G43+H43</f>
        <v>179714278</v>
      </c>
      <c r="G43" s="333">
        <f>+'PL5137'!D39</f>
        <v>179714278</v>
      </c>
      <c r="H43" s="333"/>
      <c r="I43" s="333"/>
      <c r="J43" s="333"/>
      <c r="K43" s="333"/>
      <c r="L43" s="417"/>
      <c r="M43" s="417"/>
      <c r="N43" s="417"/>
      <c r="O43" s="417"/>
      <c r="P43" s="417"/>
      <c r="Q43" s="417"/>
      <c r="R43" s="417"/>
      <c r="S43" s="417"/>
      <c r="T43" s="417"/>
      <c r="U43" s="417"/>
      <c r="V43" s="417"/>
      <c r="W43" s="417"/>
      <c r="X43" s="417"/>
      <c r="Y43" s="417"/>
      <c r="Z43" s="417"/>
      <c r="AA43" s="417"/>
      <c r="AB43" s="417"/>
      <c r="AC43" s="417"/>
      <c r="AD43" s="417"/>
      <c r="AE43" s="417"/>
      <c r="AF43" s="417"/>
      <c r="AG43" s="417"/>
    </row>
    <row r="44" spans="1:33" s="413" customFormat="1"/>
    <row r="45" spans="1:33" s="413" customFormat="1">
      <c r="G45" s="413">
        <v>774617500</v>
      </c>
      <c r="H45" s="414">
        <f>+H35+'54 (2)'!P16</f>
        <v>18409391061</v>
      </c>
    </row>
    <row r="46" spans="1:33" s="413" customFormat="1">
      <c r="E46" s="148">
        <v>774617500</v>
      </c>
      <c r="G46" s="413">
        <v>568485000</v>
      </c>
      <c r="H46" s="414">
        <v>-6128973610</v>
      </c>
    </row>
    <row r="47" spans="1:33" s="413" customFormat="1">
      <c r="E47" s="148">
        <v>568445000</v>
      </c>
      <c r="G47" s="413">
        <v>1025342674</v>
      </c>
      <c r="H47" s="148">
        <v>24538364671</v>
      </c>
    </row>
    <row r="48" spans="1:33" s="413" customFormat="1">
      <c r="E48" s="148">
        <f>10040000+1015342674</f>
        <v>1025382674</v>
      </c>
      <c r="G48" s="148">
        <f>SUM(G45:G47)</f>
        <v>2368445174</v>
      </c>
      <c r="H48" s="414">
        <f>+H45-H47</f>
        <v>-6128973610</v>
      </c>
    </row>
    <row r="49" spans="5:8" s="413" customFormat="1">
      <c r="E49" s="414">
        <f>SUM(E46:E48)</f>
        <v>2368445174</v>
      </c>
      <c r="G49" s="414">
        <f>+G48-'54 (2)'!P15</f>
        <v>-1349091568</v>
      </c>
      <c r="H49" s="148">
        <v>90518213543</v>
      </c>
    </row>
    <row r="50" spans="5:8" s="413" customFormat="1">
      <c r="E50" s="414">
        <f>+E49-'54 (2)'!P16</f>
        <v>-1349091568</v>
      </c>
      <c r="H50" s="414">
        <f>+H49-G35-H35</f>
        <v>-68824338544</v>
      </c>
    </row>
    <row r="51" spans="5:8" s="413" customFormat="1"/>
    <row r="52" spans="5:8" s="413" customFormat="1"/>
    <row r="53" spans="5:8" s="413" customFormat="1"/>
    <row r="54" spans="5:8" s="413" customFormat="1"/>
    <row r="55" spans="5:8" s="413" customFormat="1"/>
    <row r="56" spans="5:8" s="413" customFormat="1"/>
    <row r="57" spans="5:8" s="413" customFormat="1"/>
    <row r="58" spans="5:8" s="413" customFormat="1"/>
    <row r="59" spans="5:8" s="413" customFormat="1"/>
    <row r="60" spans="5:8" s="413" customFormat="1"/>
    <row r="61" spans="5:8" s="413" customFormat="1"/>
    <row r="62" spans="5:8" s="413" customFormat="1"/>
    <row r="63" spans="5:8" s="413" customFormat="1"/>
    <row r="64" spans="5:8" s="413" customFormat="1"/>
    <row r="65" s="413" customFormat="1"/>
    <row r="66" s="413" customFormat="1"/>
    <row r="67" s="413" customFormat="1"/>
    <row r="68" s="413" customFormat="1"/>
    <row r="69" s="413" customFormat="1"/>
    <row r="70" s="413" customFormat="1"/>
    <row r="71" s="413" customFormat="1"/>
    <row r="72" s="413" customFormat="1"/>
    <row r="73" s="413" customFormat="1"/>
    <row r="74" s="413" customFormat="1"/>
    <row r="75" s="413" customFormat="1"/>
    <row r="76" s="413" customFormat="1"/>
    <row r="77" s="413" customFormat="1"/>
    <row r="78" s="413" customFormat="1"/>
    <row r="79" s="413" customFormat="1"/>
    <row r="80" s="413" customFormat="1"/>
    <row r="81" s="413" customFormat="1"/>
    <row r="82" s="413" customFormat="1"/>
    <row r="83" s="413" customFormat="1"/>
    <row r="84" s="413" customFormat="1"/>
    <row r="85" s="413" customFormat="1"/>
    <row r="86" s="413" customFormat="1"/>
    <row r="87" s="413" customFormat="1"/>
    <row r="88" s="413" customFormat="1"/>
    <row r="89" s="413" customFormat="1"/>
    <row r="90" s="413" customFormat="1"/>
    <row r="91" s="413" customFormat="1"/>
    <row r="92" s="413" customFormat="1"/>
    <row r="93" s="413" customFormat="1"/>
    <row r="94" s="413" customFormat="1"/>
    <row r="95" s="413" customFormat="1"/>
    <row r="96" s="413" customFormat="1"/>
    <row r="97" s="413" customFormat="1"/>
    <row r="98" s="413" customFormat="1"/>
    <row r="99" s="413" customFormat="1"/>
  </sheetData>
  <mergeCells count="14">
    <mergeCell ref="I1:K1"/>
    <mergeCell ref="F7:K7"/>
    <mergeCell ref="C8:C12"/>
    <mergeCell ref="D8:E8"/>
    <mergeCell ref="F8:F12"/>
    <mergeCell ref="G8:H8"/>
    <mergeCell ref="I8:K8"/>
    <mergeCell ref="D9:D12"/>
    <mergeCell ref="E9:E12"/>
    <mergeCell ref="G9:G12"/>
    <mergeCell ref="H9:H12"/>
    <mergeCell ref="A8:A12"/>
    <mergeCell ref="B8:B12"/>
    <mergeCell ref="A5:K5"/>
  </mergeCells>
  <printOptions horizontalCentered="1"/>
  <pageMargins left="0.78740157480314965" right="0.78740157480314965" top="0.78740157480314965" bottom="0.78740157480314965" header="0.55118110236220474" footer="0.19685039370078741"/>
  <pageSetup paperSize="9" scale="42" fitToHeight="0" orientation="portrait" r:id="rId1"/>
  <headerFooter alignWithMargins="0">
    <oddHeader>&amp;C&amp;"Times New Roman,Regular"57</oddHeader>
    <oddFooter xml:space="preserve">&amp;C&amp;".VnTime,Italic"&amp;8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92"/>
  <sheetViews>
    <sheetView view="pageBreakPreview" zoomScale="25" zoomScaleNormal="25" zoomScaleSheetLayoutView="25" workbookViewId="0">
      <selection activeCell="A5" sqref="A5:T5"/>
    </sheetView>
  </sheetViews>
  <sheetFormatPr defaultColWidth="9.1796875" defaultRowHeight="16.5"/>
  <cols>
    <col min="1" max="1" width="4.54296875" style="17" customWidth="1"/>
    <col min="2" max="2" width="32.7265625" style="17" customWidth="1"/>
    <col min="3" max="3" width="18.7265625" style="17" customWidth="1"/>
    <col min="4" max="4" width="18.1796875" style="17" customWidth="1"/>
    <col min="5" max="5" width="19.1796875" style="17" customWidth="1"/>
    <col min="6" max="6" width="17.7265625" style="17" customWidth="1"/>
    <col min="7" max="7" width="17.54296875" style="17" customWidth="1"/>
    <col min="8" max="8" width="17" style="17" customWidth="1"/>
    <col min="9" max="9" width="19" style="17" customWidth="1"/>
    <col min="10" max="10" width="17.7265625" style="17" customWidth="1"/>
    <col min="11" max="11" width="19" style="21" customWidth="1"/>
    <col min="12" max="12" width="12.1796875" style="17" customWidth="1"/>
    <col min="13" max="13" width="8.7265625" style="17" customWidth="1"/>
    <col min="14" max="14" width="20.453125" style="17" customWidth="1"/>
    <col min="15" max="15" width="18.26953125" style="17" customWidth="1"/>
    <col min="16" max="16" width="16.26953125" style="17" customWidth="1"/>
    <col min="17" max="17" width="17.453125" style="17" customWidth="1"/>
    <col min="18" max="20" width="9.1796875" style="17" customWidth="1"/>
    <col min="21" max="21" width="20.26953125" style="142" customWidth="1"/>
    <col min="22" max="22" width="30.81640625" style="142" bestFit="1" customWidth="1"/>
    <col min="23" max="28" width="9.1796875" style="142"/>
    <col min="29" max="16384" width="9.1796875" style="17"/>
  </cols>
  <sheetData>
    <row r="1" spans="1:28" s="14" customFormat="1">
      <c r="A1" s="13"/>
      <c r="B1" s="13"/>
      <c r="I1" s="15"/>
      <c r="J1" s="15"/>
      <c r="K1" s="16"/>
      <c r="O1" s="516"/>
      <c r="P1" s="516"/>
      <c r="S1" s="766" t="s">
        <v>87</v>
      </c>
      <c r="T1" s="767"/>
      <c r="U1" s="141"/>
      <c r="V1" s="141"/>
      <c r="W1" s="141"/>
      <c r="X1" s="141"/>
      <c r="Y1" s="141"/>
      <c r="Z1" s="141"/>
      <c r="AA1" s="141"/>
      <c r="AB1" s="141"/>
    </row>
    <row r="2" spans="1:28" s="14" customFormat="1">
      <c r="A2" s="13"/>
      <c r="B2" s="13"/>
      <c r="C2" s="13"/>
      <c r="D2" s="13"/>
      <c r="E2" s="13"/>
      <c r="F2" s="13"/>
      <c r="G2" s="13"/>
      <c r="H2" s="13"/>
      <c r="K2" s="16"/>
      <c r="S2" s="767" t="s">
        <v>57</v>
      </c>
      <c r="T2" s="767"/>
      <c r="U2" s="141"/>
      <c r="V2" s="141"/>
      <c r="W2" s="141"/>
      <c r="X2" s="141"/>
      <c r="Y2" s="141"/>
      <c r="Z2" s="141"/>
      <c r="AA2" s="141"/>
      <c r="AB2" s="141"/>
    </row>
    <row r="3" spans="1:28" s="14" customFormat="1">
      <c r="A3" s="13"/>
      <c r="B3" s="13"/>
      <c r="C3" s="13"/>
      <c r="D3" s="13"/>
      <c r="E3" s="13"/>
      <c r="F3" s="13"/>
      <c r="G3" s="13"/>
      <c r="H3" s="13"/>
      <c r="K3" s="16"/>
      <c r="U3" s="141"/>
      <c r="V3" s="141"/>
      <c r="W3" s="141"/>
      <c r="X3" s="141"/>
      <c r="Y3" s="141"/>
      <c r="Z3" s="141"/>
      <c r="AA3" s="141"/>
      <c r="AB3" s="141"/>
    </row>
    <row r="4" spans="1:28">
      <c r="A4" s="517" t="s">
        <v>581</v>
      </c>
      <c r="B4" s="517"/>
      <c r="C4" s="517"/>
      <c r="D4" s="517"/>
      <c r="E4" s="517"/>
      <c r="F4" s="517"/>
      <c r="G4" s="517"/>
      <c r="H4" s="517"/>
      <c r="I4" s="517"/>
      <c r="J4" s="517"/>
      <c r="K4" s="517"/>
      <c r="L4" s="517"/>
      <c r="M4" s="517"/>
      <c r="N4" s="517"/>
      <c r="O4" s="517"/>
      <c r="P4" s="517"/>
      <c r="Q4" s="517"/>
      <c r="R4" s="517"/>
      <c r="S4" s="517"/>
      <c r="T4" s="517"/>
    </row>
    <row r="5" spans="1:28">
      <c r="A5" s="513" t="str">
        <f>+'PL5338'!A5</f>
        <v>(Kèm theo Nghị quyết số     /NQ-HĐND ngày     tháng    năm 2025 của 
Hội đồng nhân dân huyện Ia H'Drai)</v>
      </c>
      <c r="B5" s="513"/>
      <c r="C5" s="513"/>
      <c r="D5" s="513"/>
      <c r="E5" s="513"/>
      <c r="F5" s="513"/>
      <c r="G5" s="513"/>
      <c r="H5" s="513"/>
      <c r="I5" s="513"/>
      <c r="J5" s="513"/>
      <c r="K5" s="513"/>
      <c r="L5" s="513"/>
      <c r="M5" s="513"/>
      <c r="N5" s="513"/>
      <c r="O5" s="513"/>
      <c r="P5" s="513"/>
      <c r="Q5" s="513"/>
      <c r="R5" s="513"/>
      <c r="S5" s="513"/>
      <c r="T5" s="513"/>
    </row>
    <row r="6" spans="1:28" hidden="1">
      <c r="A6" s="513" t="e">
        <f>+#REF!</f>
        <v>#REF!</v>
      </c>
      <c r="B6" s="513"/>
      <c r="C6" s="513"/>
      <c r="D6" s="513"/>
      <c r="E6" s="513"/>
      <c r="F6" s="513"/>
      <c r="G6" s="513"/>
      <c r="H6" s="513"/>
      <c r="I6" s="513"/>
      <c r="J6" s="513"/>
      <c r="K6" s="513"/>
      <c r="L6" s="513"/>
      <c r="M6" s="513"/>
      <c r="N6" s="513"/>
      <c r="O6" s="513"/>
      <c r="P6" s="513"/>
    </row>
    <row r="7" spans="1:28" ht="22.5" hidden="1" customHeight="1">
      <c r="A7" s="513" t="e">
        <f>+#REF!</f>
        <v>#REF!</v>
      </c>
      <c r="B7" s="513"/>
      <c r="C7" s="513"/>
      <c r="D7" s="513"/>
      <c r="E7" s="513"/>
      <c r="F7" s="513"/>
      <c r="G7" s="513"/>
      <c r="H7" s="513"/>
      <c r="I7" s="513"/>
      <c r="J7" s="513"/>
      <c r="K7" s="513"/>
      <c r="L7" s="513"/>
      <c r="M7" s="513"/>
      <c r="N7" s="513"/>
      <c r="O7" s="513"/>
      <c r="P7" s="513"/>
    </row>
    <row r="8" spans="1:28" hidden="1">
      <c r="A8" s="112"/>
      <c r="B8" s="112"/>
      <c r="C8" s="112"/>
      <c r="D8" s="112"/>
      <c r="E8" s="112"/>
      <c r="F8" s="112"/>
      <c r="G8" s="112"/>
      <c r="H8" s="112"/>
      <c r="I8" s="112"/>
      <c r="J8" s="112"/>
      <c r="K8" s="112"/>
      <c r="L8" s="112"/>
      <c r="M8" s="112"/>
      <c r="N8" s="112"/>
      <c r="O8" s="112"/>
      <c r="P8" s="112"/>
    </row>
    <row r="9" spans="1:28" s="142" customFormat="1">
      <c r="A9" s="480"/>
      <c r="B9" s="480">
        <v>1000000</v>
      </c>
      <c r="C9" s="481">
        <f>111707000+96650000+1928262000+44800381000+E28</f>
        <v>47400000000</v>
      </c>
      <c r="D9" s="481">
        <f>212529396000-C15</f>
        <v>7712596000</v>
      </c>
      <c r="E9" s="482">
        <f>94264196-94134296</f>
        <v>129900</v>
      </c>
      <c r="F9" s="482">
        <f>+C15+12535000000</f>
        <v>217351800000</v>
      </c>
      <c r="G9" s="481">
        <f>+F9-212529396000</f>
        <v>4822404000</v>
      </c>
      <c r="H9" s="481">
        <f>359000000-E49-E50-E51</f>
        <v>359000000</v>
      </c>
      <c r="I9" s="480">
        <f>+H9/3</f>
        <v>119666666.66666667</v>
      </c>
      <c r="J9" s="482">
        <f>+F15+12535000000+18871000000</f>
        <v>173568200000</v>
      </c>
      <c r="K9" s="480">
        <f>37357072+10000000+55419522+27478800+28993600</f>
        <v>159248994</v>
      </c>
      <c r="L9" s="483">
        <v>65979848872</v>
      </c>
      <c r="M9" s="480"/>
      <c r="N9" s="481">
        <f>+O15+P15-'PL5338'!G35</f>
        <v>11024086580</v>
      </c>
      <c r="O9" s="482">
        <f>+P15+'PL5338'!H35</f>
        <v>18409391061</v>
      </c>
      <c r="P9" s="481">
        <f>+J50+O50</f>
        <v>6387126890</v>
      </c>
      <c r="Q9" s="484">
        <f>+O9-P9</f>
        <v>12022264171</v>
      </c>
    </row>
    <row r="10" spans="1:28" ht="27" customHeight="1">
      <c r="A10" s="514" t="s">
        <v>107</v>
      </c>
      <c r="B10" s="514"/>
      <c r="C10" s="514"/>
      <c r="D10" s="514"/>
      <c r="E10" s="514"/>
      <c r="F10" s="514"/>
      <c r="G10" s="514"/>
      <c r="H10" s="514"/>
      <c r="I10" s="514"/>
      <c r="J10" s="514"/>
      <c r="K10" s="514"/>
      <c r="L10" s="514"/>
      <c r="M10" s="514"/>
      <c r="N10" s="514"/>
      <c r="O10" s="514"/>
      <c r="P10" s="514"/>
      <c r="Q10" s="37"/>
      <c r="U10" s="317"/>
    </row>
    <row r="11" spans="1:28" s="22" customFormat="1" ht="40.5" customHeight="1">
      <c r="A11" s="515" t="s">
        <v>19</v>
      </c>
      <c r="B11" s="515" t="s">
        <v>67</v>
      </c>
      <c r="C11" s="518" t="s">
        <v>358</v>
      </c>
      <c r="D11" s="518"/>
      <c r="E11" s="518"/>
      <c r="F11" s="515" t="s">
        <v>566</v>
      </c>
      <c r="G11" s="518"/>
      <c r="H11" s="518"/>
      <c r="I11" s="518" t="s">
        <v>29</v>
      </c>
      <c r="J11" s="518"/>
      <c r="K11" s="518"/>
      <c r="L11" s="518"/>
      <c r="M11" s="518"/>
      <c r="N11" s="518"/>
      <c r="O11" s="518"/>
      <c r="P11" s="518"/>
      <c r="Q11" s="518"/>
      <c r="R11" s="515" t="s">
        <v>68</v>
      </c>
      <c r="S11" s="515"/>
      <c r="T11" s="515"/>
      <c r="U11" s="318">
        <v>86562067775</v>
      </c>
      <c r="V11" s="143"/>
      <c r="W11" s="143"/>
      <c r="X11" s="143"/>
      <c r="Y11" s="143"/>
      <c r="Z11" s="143"/>
      <c r="AA11" s="143"/>
      <c r="AB11" s="143"/>
    </row>
    <row r="12" spans="1:28">
      <c r="A12" s="515"/>
      <c r="B12" s="515"/>
      <c r="C12" s="515" t="s">
        <v>22</v>
      </c>
      <c r="D12" s="515" t="s">
        <v>69</v>
      </c>
      <c r="E12" s="515" t="s">
        <v>70</v>
      </c>
      <c r="F12" s="515" t="s">
        <v>345</v>
      </c>
      <c r="G12" s="515" t="s">
        <v>346</v>
      </c>
      <c r="H12" s="515"/>
      <c r="I12" s="515" t="s">
        <v>22</v>
      </c>
      <c r="J12" s="515" t="s">
        <v>69</v>
      </c>
      <c r="K12" s="519" t="s">
        <v>70</v>
      </c>
      <c r="L12" s="515" t="s">
        <v>71</v>
      </c>
      <c r="M12" s="515" t="s">
        <v>45</v>
      </c>
      <c r="N12" s="515" t="s">
        <v>567</v>
      </c>
      <c r="O12" s="515"/>
      <c r="P12" s="515"/>
      <c r="Q12" s="515" t="s">
        <v>123</v>
      </c>
      <c r="R12" s="515" t="s">
        <v>22</v>
      </c>
      <c r="S12" s="515" t="s">
        <v>35</v>
      </c>
      <c r="T12" s="515" t="s">
        <v>34</v>
      </c>
      <c r="U12" s="319">
        <f>+P15+K15</f>
        <v>121208744080</v>
      </c>
    </row>
    <row r="13" spans="1:28" ht="108" customHeight="1">
      <c r="A13" s="515"/>
      <c r="B13" s="515"/>
      <c r="C13" s="515"/>
      <c r="D13" s="515"/>
      <c r="E13" s="515"/>
      <c r="F13" s="515"/>
      <c r="G13" s="403" t="s">
        <v>72</v>
      </c>
      <c r="H13" s="403" t="s">
        <v>34</v>
      </c>
      <c r="I13" s="515"/>
      <c r="J13" s="515"/>
      <c r="K13" s="519"/>
      <c r="L13" s="515"/>
      <c r="M13" s="515"/>
      <c r="N13" s="403" t="s">
        <v>22</v>
      </c>
      <c r="O13" s="403" t="s">
        <v>72</v>
      </c>
      <c r="P13" s="403" t="s">
        <v>34</v>
      </c>
      <c r="Q13" s="515"/>
      <c r="R13" s="515"/>
      <c r="S13" s="515"/>
      <c r="T13" s="515"/>
      <c r="U13" s="319">
        <f>+U11-U12</f>
        <v>-34646676305</v>
      </c>
    </row>
    <row r="14" spans="1:28" s="18" customFormat="1" ht="15.5">
      <c r="A14" s="469" t="s">
        <v>10</v>
      </c>
      <c r="B14" s="469" t="s">
        <v>11</v>
      </c>
      <c r="C14" s="469">
        <v>1</v>
      </c>
      <c r="D14" s="469">
        <v>2</v>
      </c>
      <c r="E14" s="469">
        <v>3</v>
      </c>
      <c r="F14" s="469"/>
      <c r="G14" s="469"/>
      <c r="H14" s="469"/>
      <c r="I14" s="469">
        <v>4</v>
      </c>
      <c r="J14" s="469">
        <v>5</v>
      </c>
      <c r="K14" s="470">
        <v>6</v>
      </c>
      <c r="L14" s="469">
        <v>7</v>
      </c>
      <c r="M14" s="469">
        <v>8</v>
      </c>
      <c r="N14" s="469">
        <v>9</v>
      </c>
      <c r="O14" s="469">
        <v>10</v>
      </c>
      <c r="P14" s="469">
        <v>11</v>
      </c>
      <c r="Q14" s="152">
        <v>12</v>
      </c>
      <c r="R14" s="152" t="s">
        <v>73</v>
      </c>
      <c r="S14" s="152" t="s">
        <v>74</v>
      </c>
      <c r="T14" s="152">
        <v>15</v>
      </c>
      <c r="U14" s="144">
        <f>149139286000-C15</f>
        <v>-55677514000</v>
      </c>
      <c r="V14" s="144">
        <f>+U14+60000000</f>
        <v>-55617514000</v>
      </c>
      <c r="W14" s="145"/>
      <c r="X14" s="145"/>
      <c r="Y14" s="145"/>
      <c r="Z14" s="145"/>
      <c r="AA14" s="145"/>
      <c r="AB14" s="145"/>
    </row>
    <row r="15" spans="1:28" s="19" customFormat="1" ht="15.5">
      <c r="A15" s="403"/>
      <c r="B15" s="403" t="s">
        <v>75</v>
      </c>
      <c r="C15" s="158">
        <f>+C16+C61+C62+C63+C65+C64</f>
        <v>204816800000</v>
      </c>
      <c r="D15" s="158">
        <f t="shared" ref="D15:Q15" si="0">+D16+D61+D62+D63+D65+D64</f>
        <v>19804700000</v>
      </c>
      <c r="E15" s="158">
        <f t="shared" si="0"/>
        <v>145026100000</v>
      </c>
      <c r="F15" s="158">
        <f t="shared" si="0"/>
        <v>142162200000</v>
      </c>
      <c r="G15" s="158">
        <f t="shared" si="0"/>
        <v>94840000000</v>
      </c>
      <c r="H15" s="158">
        <f t="shared" si="0"/>
        <v>47322200000</v>
      </c>
      <c r="I15" s="158">
        <f>+I16+I61+I62+I63+I65+I64</f>
        <v>466252236346</v>
      </c>
      <c r="J15" s="158">
        <f t="shared" si="0"/>
        <v>9190186655</v>
      </c>
      <c r="K15" s="158">
        <f t="shared" si="0"/>
        <v>117491207338</v>
      </c>
      <c r="L15" s="158">
        <f t="shared" si="0"/>
        <v>0</v>
      </c>
      <c r="M15" s="158">
        <f t="shared" si="0"/>
        <v>0</v>
      </c>
      <c r="N15" s="158">
        <f t="shared" si="0"/>
        <v>155674784348</v>
      </c>
      <c r="O15" s="158">
        <f t="shared" si="0"/>
        <v>151957247606</v>
      </c>
      <c r="P15" s="158">
        <f t="shared" si="0"/>
        <v>3717536742</v>
      </c>
      <c r="Q15" s="158">
        <f t="shared" si="0"/>
        <v>183896058005</v>
      </c>
      <c r="R15" s="153">
        <f>+I15/C15%</f>
        <v>227.64355089328609</v>
      </c>
      <c r="S15" s="153">
        <f>+(O15+J15)/(D15+G15)%</f>
        <v>140.5624806563234</v>
      </c>
      <c r="T15" s="153">
        <f>+(K15+P15)/(E15+H15)%</f>
        <v>63.015240623389964</v>
      </c>
      <c r="U15" s="146">
        <f>+P15+K15</f>
        <v>121208744080</v>
      </c>
      <c r="V15" s="146">
        <f>34876120650-N15</f>
        <v>-120798663698</v>
      </c>
      <c r="W15" s="147"/>
      <c r="X15" s="147"/>
      <c r="Y15" s="147"/>
      <c r="Z15" s="147"/>
      <c r="AA15" s="147"/>
      <c r="AB15" s="147"/>
    </row>
    <row r="16" spans="1:28" s="19" customFormat="1" ht="15.5">
      <c r="A16" s="403" t="s">
        <v>8</v>
      </c>
      <c r="B16" s="471" t="s">
        <v>76</v>
      </c>
      <c r="C16" s="158">
        <f>SUM(C17:C60)</f>
        <v>135431148000</v>
      </c>
      <c r="D16" s="158">
        <f>SUM(D17:D60)</f>
        <v>19804700000</v>
      </c>
      <c r="E16" s="158">
        <f t="shared" ref="E16:Q16" si="1">SUM(E17:E60)</f>
        <v>115626448000</v>
      </c>
      <c r="F16" s="158">
        <f t="shared" si="1"/>
        <v>102176200000</v>
      </c>
      <c r="G16" s="158">
        <f>SUM(G17:G60)</f>
        <v>94840000000</v>
      </c>
      <c r="H16" s="158">
        <f>SUM(H17:H60)</f>
        <v>7336200000</v>
      </c>
      <c r="I16" s="158">
        <f t="shared" si="1"/>
        <v>282356178341</v>
      </c>
      <c r="J16" s="158">
        <f t="shared" si="1"/>
        <v>9190186655</v>
      </c>
      <c r="K16" s="158">
        <f>SUM(K17:K60)</f>
        <v>117491207338</v>
      </c>
      <c r="L16" s="158">
        <f t="shared" si="1"/>
        <v>0</v>
      </c>
      <c r="M16" s="158">
        <f t="shared" si="1"/>
        <v>0</v>
      </c>
      <c r="N16" s="158">
        <f t="shared" si="1"/>
        <v>155674784348</v>
      </c>
      <c r="O16" s="158">
        <f t="shared" si="1"/>
        <v>151957247606</v>
      </c>
      <c r="P16" s="158">
        <f>SUM(P17:P60)</f>
        <v>3717536742</v>
      </c>
      <c r="Q16" s="158">
        <f t="shared" si="1"/>
        <v>0</v>
      </c>
      <c r="R16" s="153">
        <f t="shared" ref="R16:R62" si="2">+I16/C16%</f>
        <v>208.48688245705486</v>
      </c>
      <c r="S16" s="153">
        <f>+(O16+J16)/(D16+G16)%</f>
        <v>140.5624806563234</v>
      </c>
      <c r="T16" s="153">
        <f t="shared" ref="T16:T60" si="3">+(K16+P16)/(E16+H16)%</f>
        <v>98.573628700644122</v>
      </c>
      <c r="U16" s="146">
        <f>+C16-41517000000-69930286000-35801000000</f>
        <v>-11817138000</v>
      </c>
      <c r="V16" s="147"/>
      <c r="W16" s="147"/>
      <c r="X16" s="147"/>
      <c r="Y16" s="147"/>
      <c r="Z16" s="147"/>
      <c r="AA16" s="147"/>
      <c r="AB16" s="147"/>
    </row>
    <row r="17" spans="1:28" s="19" customFormat="1" ht="15.5">
      <c r="A17" s="472">
        <v>1</v>
      </c>
      <c r="B17" s="473" t="s">
        <v>526</v>
      </c>
      <c r="C17" s="191">
        <f>+D17+E17</f>
        <v>9332081000</v>
      </c>
      <c r="D17" s="191">
        <v>0</v>
      </c>
      <c r="E17" s="474">
        <v>9332081000</v>
      </c>
      <c r="F17" s="191">
        <f>SUM(G17:H17)</f>
        <v>0</v>
      </c>
      <c r="G17" s="191"/>
      <c r="H17" s="191"/>
      <c r="I17" s="191">
        <f>SUM(J17:N17)</f>
        <v>8956945912</v>
      </c>
      <c r="J17" s="191"/>
      <c r="K17" s="475">
        <v>8956945912</v>
      </c>
      <c r="L17" s="191"/>
      <c r="M17" s="191"/>
      <c r="N17" s="191">
        <f>SUM(O17:P17)</f>
        <v>0</v>
      </c>
      <c r="O17" s="191"/>
      <c r="P17" s="191"/>
      <c r="Q17" s="154"/>
      <c r="R17" s="153">
        <f t="shared" si="2"/>
        <v>95.980156108803598</v>
      </c>
      <c r="S17" s="153"/>
      <c r="T17" s="153">
        <f t="shared" si="3"/>
        <v>95.980156108803598</v>
      </c>
      <c r="U17" s="146">
        <f>+J15+O15</f>
        <v>161147434261</v>
      </c>
      <c r="V17" s="147"/>
      <c r="W17" s="147"/>
      <c r="X17" s="147"/>
      <c r="Y17" s="147"/>
      <c r="Z17" s="147"/>
      <c r="AA17" s="147"/>
      <c r="AB17" s="147"/>
    </row>
    <row r="18" spans="1:28" s="19" customFormat="1" ht="15.5">
      <c r="A18" s="472">
        <v>2</v>
      </c>
      <c r="B18" s="473" t="s">
        <v>354</v>
      </c>
      <c r="C18" s="191">
        <f t="shared" ref="C18:C60" si="4">+D18+E18</f>
        <v>7079201000</v>
      </c>
      <c r="D18" s="191">
        <v>0</v>
      </c>
      <c r="E18" s="191">
        <v>7079201000</v>
      </c>
      <c r="F18" s="191">
        <f t="shared" ref="F18:F65" si="5">SUM(G18:H18)</f>
        <v>0</v>
      </c>
      <c r="G18" s="191"/>
      <c r="H18" s="191"/>
      <c r="I18" s="191">
        <f t="shared" ref="I18:I62" si="6">SUM(J18:N18)</f>
        <v>4077008137</v>
      </c>
      <c r="J18" s="191"/>
      <c r="K18" s="375">
        <v>4077008137</v>
      </c>
      <c r="L18" s="191"/>
      <c r="M18" s="191"/>
      <c r="N18" s="191">
        <f t="shared" ref="N18:N47" si="7">SUM(O18:P18)</f>
        <v>0</v>
      </c>
      <c r="O18" s="191"/>
      <c r="P18" s="191"/>
      <c r="Q18" s="154"/>
      <c r="R18" s="153">
        <f t="shared" si="2"/>
        <v>57.591360056028925</v>
      </c>
      <c r="S18" s="153"/>
      <c r="T18" s="153">
        <f t="shared" si="3"/>
        <v>57.591360056028925</v>
      </c>
      <c r="U18" s="146" t="e">
        <f>+E20+C34+C35+C36+#REF!+#REF!+C37+C38+C39+C45+C46+C47</f>
        <v>#REF!</v>
      </c>
      <c r="V18" s="147"/>
      <c r="W18" s="147"/>
      <c r="X18" s="147"/>
      <c r="Y18" s="147"/>
      <c r="Z18" s="147"/>
      <c r="AA18" s="147"/>
      <c r="AB18" s="147"/>
    </row>
    <row r="19" spans="1:28" s="19" customFormat="1" ht="15.5">
      <c r="A19" s="472">
        <v>3</v>
      </c>
      <c r="B19" s="473" t="s">
        <v>77</v>
      </c>
      <c r="C19" s="191">
        <f t="shared" si="4"/>
        <v>1447463000</v>
      </c>
      <c r="D19" s="191">
        <v>0</v>
      </c>
      <c r="E19" s="191">
        <v>1447463000</v>
      </c>
      <c r="F19" s="191">
        <f t="shared" si="5"/>
        <v>0</v>
      </c>
      <c r="G19" s="191"/>
      <c r="H19" s="191"/>
      <c r="I19" s="191">
        <f t="shared" si="6"/>
        <v>1514754850</v>
      </c>
      <c r="J19" s="191"/>
      <c r="K19" s="375">
        <f>48752000+1440772850+25230000</f>
        <v>1514754850</v>
      </c>
      <c r="L19" s="191"/>
      <c r="M19" s="191"/>
      <c r="N19" s="191">
        <f t="shared" si="7"/>
        <v>0</v>
      </c>
      <c r="O19" s="191"/>
      <c r="P19" s="191"/>
      <c r="Q19" s="154"/>
      <c r="R19" s="153">
        <f t="shared" si="2"/>
        <v>104.64895130307303</v>
      </c>
      <c r="S19" s="153"/>
      <c r="T19" s="153">
        <f t="shared" si="3"/>
        <v>104.64895130307303</v>
      </c>
      <c r="U19" s="146" t="e">
        <f>+U18-#REF!</f>
        <v>#REF!</v>
      </c>
      <c r="V19" s="147"/>
      <c r="W19" s="147"/>
      <c r="X19" s="147"/>
      <c r="Y19" s="147"/>
      <c r="Z19" s="147"/>
      <c r="AA19" s="147"/>
      <c r="AB19" s="147"/>
    </row>
    <row r="20" spans="1:28" s="19" customFormat="1" ht="15.5">
      <c r="A20" s="472">
        <v>4</v>
      </c>
      <c r="B20" s="473" t="s">
        <v>108</v>
      </c>
      <c r="C20" s="191">
        <f t="shared" si="4"/>
        <v>2914259000</v>
      </c>
      <c r="D20" s="191">
        <v>0</v>
      </c>
      <c r="E20" s="191">
        <f>(1684.206+1329.053-99)*1000000</f>
        <v>2914259000</v>
      </c>
      <c r="F20" s="191">
        <f t="shared" si="5"/>
        <v>331000000</v>
      </c>
      <c r="G20" s="191"/>
      <c r="H20" s="191">
        <f>+'61'!E20</f>
        <v>331000000</v>
      </c>
      <c r="I20" s="191">
        <f t="shared" si="6"/>
        <v>3150444059</v>
      </c>
      <c r="J20" s="191"/>
      <c r="K20" s="375">
        <f>225500000+99220830+1181122317+92680000+1177585012+20162000</f>
        <v>2796270159</v>
      </c>
      <c r="L20" s="191"/>
      <c r="M20" s="191"/>
      <c r="N20" s="191">
        <f t="shared" si="7"/>
        <v>354173900</v>
      </c>
      <c r="O20" s="191">
        <f>+'61'!G20</f>
        <v>33792000</v>
      </c>
      <c r="P20" s="191">
        <f>61000000+54108900+205273000</f>
        <v>320381900</v>
      </c>
      <c r="Q20" s="154"/>
      <c r="R20" s="153">
        <f t="shared" si="2"/>
        <v>108.10446357032782</v>
      </c>
      <c r="S20" s="153"/>
      <c r="T20" s="153">
        <f t="shared" si="3"/>
        <v>96.037082371545694</v>
      </c>
      <c r="U20" s="147">
        <f>2296904-2292900</f>
        <v>4004</v>
      </c>
      <c r="V20" s="147"/>
      <c r="W20" s="147"/>
      <c r="X20" s="147"/>
      <c r="Y20" s="147"/>
      <c r="Z20" s="147"/>
      <c r="AA20" s="147"/>
      <c r="AB20" s="147"/>
    </row>
    <row r="21" spans="1:28" s="19" customFormat="1" ht="15.5">
      <c r="A21" s="472">
        <v>5</v>
      </c>
      <c r="B21" s="473" t="s">
        <v>78</v>
      </c>
      <c r="C21" s="191">
        <f t="shared" si="4"/>
        <v>2162837000</v>
      </c>
      <c r="D21" s="191">
        <v>0</v>
      </c>
      <c r="E21" s="191">
        <f>(2354.537-191.7)*1000000</f>
        <v>2162837000</v>
      </c>
      <c r="F21" s="191">
        <f t="shared" si="5"/>
        <v>3614700000</v>
      </c>
      <c r="G21" s="191"/>
      <c r="H21" s="191">
        <f>+'61'!E15</f>
        <v>3614700000</v>
      </c>
      <c r="I21" s="191">
        <f t="shared" si="6"/>
        <v>2236250908</v>
      </c>
      <c r="J21" s="191"/>
      <c r="K21" s="375">
        <f>130050000+142770400+1168522946+19011000</f>
        <v>1460354346</v>
      </c>
      <c r="L21" s="191"/>
      <c r="M21" s="191"/>
      <c r="N21" s="191">
        <f t="shared" si="7"/>
        <v>775896562</v>
      </c>
      <c r="O21" s="191"/>
      <c r="P21" s="191">
        <f>81375000+435105000+27918000+74411000+92700000+52244842+12142720</f>
        <v>775896562</v>
      </c>
      <c r="Q21" s="154"/>
      <c r="R21" s="153">
        <f t="shared" si="2"/>
        <v>103.39433383098218</v>
      </c>
      <c r="S21" s="153"/>
      <c r="T21" s="153">
        <f t="shared" si="3"/>
        <v>38.705955634728085</v>
      </c>
      <c r="U21" s="147">
        <f>33777+50665+24395+15012+41283</f>
        <v>165132</v>
      </c>
      <c r="V21" s="147"/>
      <c r="W21" s="147"/>
      <c r="X21" s="147"/>
      <c r="Y21" s="147"/>
      <c r="Z21" s="147"/>
      <c r="AA21" s="147"/>
      <c r="AB21" s="147"/>
    </row>
    <row r="22" spans="1:28" s="19" customFormat="1" ht="15.5">
      <c r="A22" s="472">
        <v>6</v>
      </c>
      <c r="B22" s="473" t="s">
        <v>79</v>
      </c>
      <c r="C22" s="191">
        <f t="shared" si="4"/>
        <v>2329073000</v>
      </c>
      <c r="D22" s="191">
        <v>0</v>
      </c>
      <c r="E22" s="191">
        <f>(2374.073-45)*1000000</f>
        <v>2329073000</v>
      </c>
      <c r="F22" s="191">
        <f t="shared" si="5"/>
        <v>53000000</v>
      </c>
      <c r="G22" s="191"/>
      <c r="H22" s="191">
        <f>+'61'!E24</f>
        <v>53000000</v>
      </c>
      <c r="I22" s="191">
        <f t="shared" si="6"/>
        <v>1849891254</v>
      </c>
      <c r="J22" s="191"/>
      <c r="K22" s="375">
        <f>598594800+1051850454+15346000+131100000</f>
        <v>1796891254</v>
      </c>
      <c r="L22" s="191"/>
      <c r="M22" s="191"/>
      <c r="N22" s="191">
        <f t="shared" si="7"/>
        <v>53000000</v>
      </c>
      <c r="O22" s="191"/>
      <c r="P22" s="191">
        <f>8000000+45000000</f>
        <v>53000000</v>
      </c>
      <c r="Q22" s="154"/>
      <c r="R22" s="153">
        <f t="shared" si="2"/>
        <v>79.426074408144359</v>
      </c>
      <c r="S22" s="153"/>
      <c r="T22" s="153">
        <f t="shared" si="3"/>
        <v>77.658881738720851</v>
      </c>
      <c r="U22" s="147">
        <f>1937218+1780192+2051094</f>
        <v>5768504</v>
      </c>
      <c r="V22" s="147"/>
      <c r="W22" s="147"/>
      <c r="X22" s="147"/>
      <c r="Y22" s="147"/>
      <c r="Z22" s="147"/>
      <c r="AA22" s="147"/>
      <c r="AB22" s="147"/>
    </row>
    <row r="23" spans="1:28" s="19" customFormat="1" ht="15.5">
      <c r="A23" s="472">
        <v>7</v>
      </c>
      <c r="B23" s="473" t="s">
        <v>80</v>
      </c>
      <c r="C23" s="191">
        <f t="shared" si="4"/>
        <v>772131000</v>
      </c>
      <c r="D23" s="191">
        <v>0</v>
      </c>
      <c r="E23" s="191">
        <v>772131000</v>
      </c>
      <c r="F23" s="191">
        <f t="shared" si="5"/>
        <v>0</v>
      </c>
      <c r="G23" s="191"/>
      <c r="H23" s="191"/>
      <c r="I23" s="191">
        <f t="shared" si="6"/>
        <v>827857140</v>
      </c>
      <c r="J23" s="191"/>
      <c r="K23" s="375">
        <v>827857140</v>
      </c>
      <c r="L23" s="191"/>
      <c r="M23" s="191"/>
      <c r="N23" s="191">
        <f t="shared" si="7"/>
        <v>0</v>
      </c>
      <c r="O23" s="191"/>
      <c r="P23" s="191"/>
      <c r="Q23" s="154"/>
      <c r="R23" s="153">
        <f t="shared" si="2"/>
        <v>107.21718723895297</v>
      </c>
      <c r="S23" s="153"/>
      <c r="T23" s="153">
        <f t="shared" si="3"/>
        <v>107.21718723895297</v>
      </c>
      <c r="U23" s="147">
        <f>-3974758+2934716+3951841</f>
        <v>2911799</v>
      </c>
      <c r="V23" s="147"/>
      <c r="W23" s="147"/>
      <c r="X23" s="147"/>
      <c r="Y23" s="147"/>
      <c r="Z23" s="147"/>
      <c r="AA23" s="147"/>
      <c r="AB23" s="147"/>
    </row>
    <row r="24" spans="1:28" s="19" customFormat="1" ht="15.5">
      <c r="A24" s="472">
        <v>8</v>
      </c>
      <c r="B24" s="473" t="s">
        <v>370</v>
      </c>
      <c r="C24" s="191">
        <f t="shared" si="4"/>
        <v>694524000</v>
      </c>
      <c r="D24" s="191">
        <v>0</v>
      </c>
      <c r="E24" s="191">
        <f>(748.524-54)*1000000</f>
        <v>694524000</v>
      </c>
      <c r="F24" s="191">
        <f t="shared" si="5"/>
        <v>237000000</v>
      </c>
      <c r="G24" s="191"/>
      <c r="H24" s="191">
        <f>+'61'!E23</f>
        <v>237000000</v>
      </c>
      <c r="I24" s="191">
        <f t="shared" si="6"/>
        <v>1304134000</v>
      </c>
      <c r="J24" s="191"/>
      <c r="K24" s="375">
        <f>135148000+550378000+10278000</f>
        <v>695804000</v>
      </c>
      <c r="L24" s="191"/>
      <c r="M24" s="191"/>
      <c r="N24" s="191">
        <f t="shared" si="7"/>
        <v>608330000</v>
      </c>
      <c r="O24" s="191"/>
      <c r="P24" s="191">
        <f>572330000+36000000</f>
        <v>608330000</v>
      </c>
      <c r="Q24" s="154"/>
      <c r="R24" s="153">
        <f t="shared" si="2"/>
        <v>187.77378463523218</v>
      </c>
      <c r="S24" s="153"/>
      <c r="T24" s="153">
        <f t="shared" si="3"/>
        <v>140.00004294038587</v>
      </c>
      <c r="U24" s="147">
        <f>3974758+2934716+3951841</f>
        <v>10861315</v>
      </c>
      <c r="V24" s="147"/>
      <c r="W24" s="147"/>
      <c r="X24" s="147"/>
      <c r="Y24" s="147"/>
      <c r="Z24" s="147"/>
      <c r="AA24" s="147"/>
      <c r="AB24" s="147"/>
    </row>
    <row r="25" spans="1:28" s="19" customFormat="1" ht="15.5">
      <c r="A25" s="472">
        <v>9</v>
      </c>
      <c r="B25" s="473" t="s">
        <v>371</v>
      </c>
      <c r="C25" s="191">
        <f t="shared" si="4"/>
        <v>753595000</v>
      </c>
      <c r="D25" s="191">
        <v>0</v>
      </c>
      <c r="E25" s="191">
        <v>753595000</v>
      </c>
      <c r="F25" s="191">
        <f t="shared" si="5"/>
        <v>0</v>
      </c>
      <c r="G25" s="191"/>
      <c r="H25" s="191"/>
      <c r="I25" s="191">
        <f t="shared" si="6"/>
        <v>652533800</v>
      </c>
      <c r="J25" s="191"/>
      <c r="K25" s="375">
        <v>652533800</v>
      </c>
      <c r="L25" s="191"/>
      <c r="M25" s="191"/>
      <c r="N25" s="191">
        <f t="shared" si="7"/>
        <v>0</v>
      </c>
      <c r="O25" s="191"/>
      <c r="P25" s="191"/>
      <c r="Q25" s="154"/>
      <c r="R25" s="153">
        <f t="shared" si="2"/>
        <v>86.58945454786722</v>
      </c>
      <c r="S25" s="153"/>
      <c r="T25" s="153">
        <f t="shared" si="3"/>
        <v>86.58945454786722</v>
      </c>
      <c r="U25" s="148">
        <f>1937218+1780192+2051094+3974758+2934716+3951841+2854512+2672593+5359010+145950+963097+433853+252980+287945+45175+107000+107000+107000+108000+46686+19148+21296+75816+42120+25000+25000+25000+520000+36350+36170+45900+61580+28350+12150+40500+33777+50665+24395+15012+41283+8250+42000+24000+31500+3000+13500+30453+16853+18592+13900+5345+3475+128200+138600+116000+31500+131000+180200+70500+42000+118000+76000+34750+32050+29000+12730+8050+22420+17000</f>
        <v>32699000</v>
      </c>
      <c r="V25" s="147"/>
      <c r="W25" s="147"/>
      <c r="X25" s="147"/>
      <c r="Y25" s="147"/>
      <c r="Z25" s="147"/>
      <c r="AA25" s="147"/>
      <c r="AB25" s="147"/>
    </row>
    <row r="26" spans="1:28" s="19" customFormat="1" ht="15.5">
      <c r="A26" s="472">
        <v>10</v>
      </c>
      <c r="B26" s="473" t="s">
        <v>82</v>
      </c>
      <c r="C26" s="191">
        <f t="shared" si="4"/>
        <v>420261000</v>
      </c>
      <c r="D26" s="191">
        <v>0</v>
      </c>
      <c r="E26" s="191">
        <v>420261000</v>
      </c>
      <c r="F26" s="191">
        <f t="shared" si="5"/>
        <v>0</v>
      </c>
      <c r="G26" s="191"/>
      <c r="H26" s="191"/>
      <c r="I26" s="191">
        <f t="shared" si="6"/>
        <v>482335300</v>
      </c>
      <c r="J26" s="191"/>
      <c r="K26" s="375">
        <v>482335300</v>
      </c>
      <c r="L26" s="191"/>
      <c r="M26" s="191"/>
      <c r="N26" s="191">
        <f t="shared" si="7"/>
        <v>0</v>
      </c>
      <c r="O26" s="191"/>
      <c r="P26" s="191"/>
      <c r="Q26" s="154"/>
      <c r="R26" s="153">
        <f t="shared" si="2"/>
        <v>114.77041647928311</v>
      </c>
      <c r="S26" s="153"/>
      <c r="T26" s="153">
        <f t="shared" si="3"/>
        <v>114.77041647928311</v>
      </c>
      <c r="U26" s="147">
        <v>1161898593</v>
      </c>
      <c r="V26" s="147"/>
      <c r="W26" s="147"/>
      <c r="X26" s="147"/>
      <c r="Y26" s="147"/>
      <c r="Z26" s="147"/>
      <c r="AA26" s="147"/>
      <c r="AB26" s="147"/>
    </row>
    <row r="27" spans="1:28" s="19" customFormat="1" ht="28">
      <c r="A27" s="472">
        <v>11</v>
      </c>
      <c r="B27" s="473" t="s">
        <v>344</v>
      </c>
      <c r="C27" s="191">
        <f t="shared" si="4"/>
        <v>3318641000</v>
      </c>
      <c r="D27" s="191">
        <v>0</v>
      </c>
      <c r="E27" s="191">
        <f>(3398.641-80)*1000000</f>
        <v>3318641000</v>
      </c>
      <c r="F27" s="191">
        <f t="shared" si="5"/>
        <v>80000000</v>
      </c>
      <c r="G27" s="191"/>
      <c r="H27" s="191">
        <f>+'61'!E27</f>
        <v>80000000</v>
      </c>
      <c r="I27" s="191">
        <f t="shared" si="6"/>
        <v>3069463894</v>
      </c>
      <c r="J27" s="191"/>
      <c r="K27" s="375">
        <f>32735000+2021234560+738844334+196650000</f>
        <v>2989463894</v>
      </c>
      <c r="L27" s="191"/>
      <c r="M27" s="191"/>
      <c r="N27" s="191">
        <f t="shared" si="7"/>
        <v>80000000</v>
      </c>
      <c r="O27" s="191"/>
      <c r="P27" s="191">
        <v>80000000</v>
      </c>
      <c r="Q27" s="154"/>
      <c r="R27" s="153">
        <f t="shared" si="2"/>
        <v>92.491592010102934</v>
      </c>
      <c r="S27" s="153"/>
      <c r="T27" s="153">
        <f t="shared" si="3"/>
        <v>90.314449040072191</v>
      </c>
      <c r="U27" s="146">
        <f>+U26-K22</f>
        <v>-634992661</v>
      </c>
      <c r="V27" s="147"/>
      <c r="W27" s="147"/>
      <c r="X27" s="147"/>
      <c r="Y27" s="147"/>
      <c r="Z27" s="147"/>
      <c r="AA27" s="147"/>
      <c r="AB27" s="147"/>
    </row>
    <row r="28" spans="1:28" s="19" customFormat="1" ht="15.5">
      <c r="A28" s="472">
        <v>12</v>
      </c>
      <c r="B28" s="473" t="s">
        <v>375</v>
      </c>
      <c r="C28" s="191">
        <f t="shared" si="4"/>
        <v>463000000</v>
      </c>
      <c r="D28" s="191">
        <v>0</v>
      </c>
      <c r="E28" s="191">
        <v>463000000</v>
      </c>
      <c r="F28" s="191">
        <f t="shared" si="5"/>
        <v>0</v>
      </c>
      <c r="G28" s="191"/>
      <c r="H28" s="191"/>
      <c r="I28" s="191">
        <f t="shared" si="6"/>
        <v>712410902</v>
      </c>
      <c r="J28" s="191"/>
      <c r="K28" s="375">
        <v>712410902</v>
      </c>
      <c r="L28" s="191"/>
      <c r="M28" s="191"/>
      <c r="N28" s="191">
        <f t="shared" si="7"/>
        <v>0</v>
      </c>
      <c r="O28" s="191"/>
      <c r="P28" s="191"/>
      <c r="Q28" s="154"/>
      <c r="R28" s="153">
        <f t="shared" si="2"/>
        <v>153.8684453563715</v>
      </c>
      <c r="S28" s="153"/>
      <c r="T28" s="153">
        <f t="shared" si="3"/>
        <v>153.8684453563715</v>
      </c>
      <c r="U28" s="147">
        <f>90000000-80000000-7194780</f>
        <v>2805220</v>
      </c>
      <c r="V28" s="147"/>
      <c r="W28" s="147"/>
      <c r="X28" s="147"/>
      <c r="Y28" s="147"/>
      <c r="Z28" s="147"/>
      <c r="AA28" s="147"/>
      <c r="AB28" s="147"/>
    </row>
    <row r="29" spans="1:28" s="19" customFormat="1" ht="15.5">
      <c r="A29" s="472">
        <v>13</v>
      </c>
      <c r="B29" s="473" t="s">
        <v>343</v>
      </c>
      <c r="C29" s="191">
        <f t="shared" si="4"/>
        <v>2143772000</v>
      </c>
      <c r="D29" s="191">
        <v>0</v>
      </c>
      <c r="E29" s="191">
        <v>2143772000</v>
      </c>
      <c r="F29" s="191">
        <f t="shared" si="5"/>
        <v>0</v>
      </c>
      <c r="G29" s="191"/>
      <c r="H29" s="191"/>
      <c r="I29" s="191">
        <f t="shared" si="6"/>
        <v>1694980784</v>
      </c>
      <c r="J29" s="191"/>
      <c r="K29" s="375">
        <v>1694980784</v>
      </c>
      <c r="L29" s="191"/>
      <c r="M29" s="191"/>
      <c r="N29" s="191">
        <f t="shared" si="7"/>
        <v>0</v>
      </c>
      <c r="O29" s="191"/>
      <c r="P29" s="191"/>
      <c r="Q29" s="154"/>
      <c r="R29" s="153">
        <f t="shared" si="2"/>
        <v>79.065347620922381</v>
      </c>
      <c r="S29" s="153"/>
      <c r="T29" s="153">
        <f t="shared" si="3"/>
        <v>79.065347620922381</v>
      </c>
      <c r="U29" s="147"/>
      <c r="V29" s="147"/>
      <c r="W29" s="147"/>
      <c r="X29" s="147"/>
      <c r="Y29" s="147"/>
      <c r="Z29" s="147"/>
      <c r="AA29" s="147"/>
      <c r="AB29" s="147"/>
    </row>
    <row r="30" spans="1:28" s="19" customFormat="1" ht="15.5">
      <c r="A30" s="472">
        <v>14</v>
      </c>
      <c r="B30" s="473" t="s">
        <v>531</v>
      </c>
      <c r="C30" s="191">
        <f t="shared" si="4"/>
        <v>12124700000</v>
      </c>
      <c r="D30" s="191">
        <v>12124700000</v>
      </c>
      <c r="E30" s="191">
        <v>0</v>
      </c>
      <c r="F30" s="191">
        <f t="shared" si="5"/>
        <v>77651000000</v>
      </c>
      <c r="G30" s="191">
        <f>+'61'!D19</f>
        <v>77651000000</v>
      </c>
      <c r="H30" s="191"/>
      <c r="I30" s="191">
        <f>SUM(J30:N30)</f>
        <v>141911715675</v>
      </c>
      <c r="J30" s="155">
        <f>+'55'!D12-O30</f>
        <v>7850486655</v>
      </c>
      <c r="K30" s="191">
        <v>51933000</v>
      </c>
      <c r="L30" s="191"/>
      <c r="M30" s="191"/>
      <c r="N30" s="191">
        <f t="shared" si="7"/>
        <v>134009296020</v>
      </c>
      <c r="O30" s="191">
        <f>+'61'!G19</f>
        <v>134009296020</v>
      </c>
      <c r="P30" s="191"/>
      <c r="Q30" s="154"/>
      <c r="R30" s="153">
        <f t="shared" si="2"/>
        <v>1170.4348616872994</v>
      </c>
      <c r="S30" s="153">
        <f>+(O30+J30)/(D30+G30)%</f>
        <v>158.01579121633137</v>
      </c>
      <c r="T30" s="153"/>
      <c r="U30" s="147">
        <f>509228-138228-271000</f>
        <v>100000</v>
      </c>
      <c r="V30" s="147"/>
      <c r="W30" s="147"/>
      <c r="X30" s="147"/>
      <c r="Y30" s="147"/>
      <c r="Z30" s="147"/>
      <c r="AA30" s="147"/>
      <c r="AB30" s="147"/>
    </row>
    <row r="31" spans="1:28" s="19" customFormat="1" ht="15.5">
      <c r="A31" s="472">
        <v>15</v>
      </c>
      <c r="B31" s="473" t="s">
        <v>83</v>
      </c>
      <c r="C31" s="191">
        <f t="shared" si="4"/>
        <v>2380990000</v>
      </c>
      <c r="D31" s="191">
        <v>0</v>
      </c>
      <c r="E31" s="191">
        <v>2380990000</v>
      </c>
      <c r="F31" s="191">
        <f t="shared" si="5"/>
        <v>0</v>
      </c>
      <c r="G31" s="191"/>
      <c r="H31" s="191"/>
      <c r="I31" s="191">
        <f t="shared" si="6"/>
        <v>3318382000</v>
      </c>
      <c r="J31" s="191"/>
      <c r="K31" s="191">
        <v>3318382000</v>
      </c>
      <c r="L31" s="191"/>
      <c r="M31" s="191"/>
      <c r="N31" s="191">
        <f t="shared" si="7"/>
        <v>0</v>
      </c>
      <c r="O31" s="191"/>
      <c r="P31" s="191"/>
      <c r="Q31" s="154"/>
      <c r="R31" s="153">
        <f t="shared" si="2"/>
        <v>139.36984195649708</v>
      </c>
      <c r="S31" s="153"/>
      <c r="T31" s="153">
        <f t="shared" si="3"/>
        <v>139.36984195649708</v>
      </c>
      <c r="U31" s="148">
        <v>103256373133</v>
      </c>
      <c r="V31" s="147"/>
      <c r="W31" s="147"/>
      <c r="X31" s="147"/>
      <c r="Y31" s="147"/>
      <c r="Z31" s="147"/>
      <c r="AA31" s="147"/>
      <c r="AB31" s="147"/>
    </row>
    <row r="32" spans="1:28" s="19" customFormat="1" ht="15.5">
      <c r="A32" s="472">
        <v>16</v>
      </c>
      <c r="B32" s="473" t="s">
        <v>84</v>
      </c>
      <c r="C32" s="191">
        <f t="shared" si="4"/>
        <v>751000000</v>
      </c>
      <c r="D32" s="191">
        <v>0</v>
      </c>
      <c r="E32" s="191">
        <f>(1055-304)*1000000</f>
        <v>751000000</v>
      </c>
      <c r="F32" s="191">
        <f t="shared" si="5"/>
        <v>304000000</v>
      </c>
      <c r="G32" s="191"/>
      <c r="H32" s="191">
        <f>+'61'!E26</f>
        <v>304000000</v>
      </c>
      <c r="I32" s="191">
        <f t="shared" si="6"/>
        <v>1302810000</v>
      </c>
      <c r="J32" s="191"/>
      <c r="K32" s="191">
        <v>998810000</v>
      </c>
      <c r="L32" s="191"/>
      <c r="M32" s="191"/>
      <c r="N32" s="191">
        <f t="shared" si="7"/>
        <v>304000000</v>
      </c>
      <c r="O32" s="191"/>
      <c r="P32" s="191">
        <v>304000000</v>
      </c>
      <c r="Q32" s="154"/>
      <c r="R32" s="153">
        <f t="shared" si="2"/>
        <v>173.47669773635153</v>
      </c>
      <c r="S32" s="153"/>
      <c r="T32" s="153">
        <f t="shared" si="3"/>
        <v>123.48909952606635</v>
      </c>
      <c r="U32" s="146">
        <f>+U31-O30-O49-O50-O51</f>
        <v>-48667082473</v>
      </c>
      <c r="V32" s="147"/>
      <c r="W32" s="147"/>
      <c r="X32" s="147"/>
      <c r="Y32" s="147"/>
      <c r="Z32" s="147"/>
      <c r="AA32" s="147"/>
      <c r="AB32" s="147"/>
    </row>
    <row r="33" spans="1:28" s="19" customFormat="1" ht="15.5">
      <c r="A33" s="472">
        <v>17</v>
      </c>
      <c r="B33" s="473" t="s">
        <v>527</v>
      </c>
      <c r="C33" s="191">
        <f t="shared" si="4"/>
        <v>8602637000</v>
      </c>
      <c r="D33" s="191">
        <v>0</v>
      </c>
      <c r="E33" s="191">
        <f>(8830.637-158-70)*1000000</f>
        <v>8602637000</v>
      </c>
      <c r="F33" s="191">
        <f t="shared" si="5"/>
        <v>1237000000</v>
      </c>
      <c r="G33" s="191"/>
      <c r="H33" s="191">
        <f>+'61'!E25</f>
        <v>1237000000</v>
      </c>
      <c r="I33" s="191">
        <f t="shared" si="6"/>
        <v>9063054140</v>
      </c>
      <c r="J33" s="191"/>
      <c r="K33" s="191">
        <f>4654700004+67364000+3399061856</f>
        <v>8121125860</v>
      </c>
      <c r="L33" s="191"/>
      <c r="M33" s="191"/>
      <c r="N33" s="191">
        <f t="shared" si="7"/>
        <v>941928280</v>
      </c>
      <c r="O33" s="191"/>
      <c r="P33" s="191">
        <f>212041800+153724000+369442480+100000000+106720000</f>
        <v>941928280</v>
      </c>
      <c r="Q33" s="154"/>
      <c r="R33" s="153">
        <f t="shared" si="2"/>
        <v>105.35204658757542</v>
      </c>
      <c r="S33" s="153"/>
      <c r="T33" s="153">
        <f t="shared" si="3"/>
        <v>92.107606611910583</v>
      </c>
      <c r="U33" s="147">
        <v>69671769454</v>
      </c>
      <c r="V33" s="146">
        <f>8956612050-K33</f>
        <v>835486190</v>
      </c>
      <c r="W33" s="147"/>
      <c r="X33" s="147"/>
      <c r="Y33" s="147"/>
      <c r="Z33" s="147"/>
      <c r="AA33" s="147"/>
      <c r="AB33" s="147"/>
    </row>
    <row r="34" spans="1:28" s="19" customFormat="1" ht="15.5">
      <c r="A34" s="472">
        <v>18</v>
      </c>
      <c r="B34" s="473" t="s">
        <v>109</v>
      </c>
      <c r="C34" s="191">
        <f t="shared" si="4"/>
        <v>6082414000</v>
      </c>
      <c r="D34" s="191">
        <v>0</v>
      </c>
      <c r="E34" s="191">
        <v>6082414000</v>
      </c>
      <c r="F34" s="191">
        <f t="shared" si="5"/>
        <v>0</v>
      </c>
      <c r="G34" s="191"/>
      <c r="H34" s="191"/>
      <c r="I34" s="191">
        <f t="shared" si="6"/>
        <v>5904230795</v>
      </c>
      <c r="J34" s="191"/>
      <c r="K34" s="191">
        <v>5904230795</v>
      </c>
      <c r="L34" s="476"/>
      <c r="M34" s="191"/>
      <c r="N34" s="191">
        <f t="shared" si="7"/>
        <v>0</v>
      </c>
      <c r="O34" s="154"/>
      <c r="P34" s="154"/>
      <c r="Q34" s="154"/>
      <c r="R34" s="153">
        <f t="shared" si="2"/>
        <v>97.070518300793069</v>
      </c>
      <c r="S34" s="153"/>
      <c r="T34" s="153">
        <f t="shared" si="3"/>
        <v>97.070518300793069</v>
      </c>
      <c r="U34" s="147"/>
      <c r="V34" s="147"/>
      <c r="W34" s="147"/>
      <c r="X34" s="147"/>
      <c r="Y34" s="147"/>
      <c r="Z34" s="147"/>
      <c r="AA34" s="147"/>
      <c r="AB34" s="147"/>
    </row>
    <row r="35" spans="1:28" s="19" customFormat="1" ht="15.5">
      <c r="A35" s="472">
        <v>19</v>
      </c>
      <c r="B35" s="473" t="s">
        <v>110</v>
      </c>
      <c r="C35" s="191">
        <f t="shared" si="4"/>
        <v>4865841000</v>
      </c>
      <c r="D35" s="191">
        <v>0</v>
      </c>
      <c r="E35" s="191">
        <v>4865841000</v>
      </c>
      <c r="F35" s="191">
        <f t="shared" si="5"/>
        <v>0</v>
      </c>
      <c r="G35" s="191"/>
      <c r="H35" s="191"/>
      <c r="I35" s="191">
        <f t="shared" si="6"/>
        <v>5332846614</v>
      </c>
      <c r="J35" s="191"/>
      <c r="K35" s="191">
        <v>5332846614</v>
      </c>
      <c r="L35" s="476"/>
      <c r="M35" s="191"/>
      <c r="N35" s="191">
        <f t="shared" si="7"/>
        <v>0</v>
      </c>
      <c r="O35" s="154"/>
      <c r="P35" s="154"/>
      <c r="Q35" s="154"/>
      <c r="R35" s="153">
        <f t="shared" si="2"/>
        <v>109.59763407805558</v>
      </c>
      <c r="S35" s="153"/>
      <c r="T35" s="153">
        <f t="shared" si="3"/>
        <v>109.59763407805558</v>
      </c>
      <c r="U35" s="147"/>
      <c r="V35" s="147"/>
      <c r="W35" s="147"/>
      <c r="X35" s="147"/>
      <c r="Y35" s="147"/>
      <c r="Z35" s="147"/>
      <c r="AA35" s="147"/>
      <c r="AB35" s="147"/>
    </row>
    <row r="36" spans="1:28" s="19" customFormat="1" ht="19.5" customHeight="1">
      <c r="A36" s="472">
        <v>20</v>
      </c>
      <c r="B36" s="473" t="s">
        <v>111</v>
      </c>
      <c r="C36" s="191">
        <f t="shared" si="4"/>
        <v>6283893000</v>
      </c>
      <c r="D36" s="191">
        <v>0</v>
      </c>
      <c r="E36" s="191">
        <v>6283893000</v>
      </c>
      <c r="F36" s="191">
        <f t="shared" si="5"/>
        <v>0</v>
      </c>
      <c r="G36" s="191"/>
      <c r="H36" s="191"/>
      <c r="I36" s="191">
        <f t="shared" si="6"/>
        <v>6306791448</v>
      </c>
      <c r="J36" s="191"/>
      <c r="K36" s="191">
        <v>6306791448</v>
      </c>
      <c r="L36" s="476"/>
      <c r="M36" s="191"/>
      <c r="N36" s="191">
        <f t="shared" si="7"/>
        <v>0</v>
      </c>
      <c r="O36" s="154"/>
      <c r="P36" s="154"/>
      <c r="Q36" s="154"/>
      <c r="R36" s="153">
        <f t="shared" si="2"/>
        <v>100.36439907554123</v>
      </c>
      <c r="S36" s="153"/>
      <c r="T36" s="153">
        <f t="shared" si="3"/>
        <v>100.36439907554123</v>
      </c>
      <c r="U36" s="147">
        <f>3606058000+405000000+30000000+30500000+9500000</f>
        <v>4081058000</v>
      </c>
      <c r="V36" s="147">
        <f>26600+0.5</f>
        <v>26600.5</v>
      </c>
      <c r="W36" s="147"/>
      <c r="X36" s="147"/>
      <c r="Y36" s="147"/>
      <c r="Z36" s="147"/>
      <c r="AA36" s="147"/>
      <c r="AB36" s="147"/>
    </row>
    <row r="37" spans="1:28" s="19" customFormat="1" ht="15.5">
      <c r="A37" s="472">
        <v>21</v>
      </c>
      <c r="B37" s="473" t="s">
        <v>352</v>
      </c>
      <c r="C37" s="191">
        <f t="shared" si="4"/>
        <v>10537296000</v>
      </c>
      <c r="D37" s="191">
        <v>0</v>
      </c>
      <c r="E37" s="191">
        <v>10537296000</v>
      </c>
      <c r="F37" s="191">
        <f t="shared" si="5"/>
        <v>0</v>
      </c>
      <c r="G37" s="191"/>
      <c r="H37" s="191"/>
      <c r="I37" s="191">
        <f t="shared" si="6"/>
        <v>11789054926</v>
      </c>
      <c r="J37" s="191"/>
      <c r="K37" s="191">
        <v>11789054926</v>
      </c>
      <c r="L37" s="476"/>
      <c r="M37" s="191"/>
      <c r="N37" s="191">
        <f t="shared" si="7"/>
        <v>0</v>
      </c>
      <c r="O37" s="154"/>
      <c r="P37" s="154"/>
      <c r="Q37" s="154"/>
      <c r="R37" s="153">
        <f t="shared" si="2"/>
        <v>111.87931824255483</v>
      </c>
      <c r="S37" s="153"/>
      <c r="T37" s="153">
        <f t="shared" si="3"/>
        <v>111.87931824255483</v>
      </c>
      <c r="U37" s="147"/>
      <c r="V37" s="147"/>
      <c r="W37" s="147"/>
      <c r="X37" s="147"/>
      <c r="Y37" s="147"/>
      <c r="Z37" s="147"/>
      <c r="AA37" s="147"/>
      <c r="AB37" s="147"/>
    </row>
    <row r="38" spans="1:28" s="19" customFormat="1" ht="15.5">
      <c r="A38" s="472">
        <v>22</v>
      </c>
      <c r="B38" s="473" t="s">
        <v>349</v>
      </c>
      <c r="C38" s="191">
        <f t="shared" si="4"/>
        <v>15404007000</v>
      </c>
      <c r="D38" s="191">
        <v>0</v>
      </c>
      <c r="E38" s="191">
        <v>15404007000</v>
      </c>
      <c r="F38" s="191">
        <f t="shared" si="5"/>
        <v>0</v>
      </c>
      <c r="G38" s="191"/>
      <c r="H38" s="191"/>
      <c r="I38" s="191">
        <f t="shared" si="6"/>
        <v>17095268357</v>
      </c>
      <c r="J38" s="191"/>
      <c r="K38" s="191">
        <v>17095268357</v>
      </c>
      <c r="L38" s="476"/>
      <c r="M38" s="191"/>
      <c r="N38" s="191">
        <f t="shared" si="7"/>
        <v>0</v>
      </c>
      <c r="O38" s="154"/>
      <c r="P38" s="154"/>
      <c r="Q38" s="154"/>
      <c r="R38" s="153">
        <f t="shared" si="2"/>
        <v>110.97935983150359</v>
      </c>
      <c r="S38" s="153"/>
      <c r="T38" s="153">
        <f t="shared" si="3"/>
        <v>110.97935983150359</v>
      </c>
      <c r="U38" s="147"/>
      <c r="V38" s="147"/>
      <c r="W38" s="147"/>
      <c r="X38" s="147"/>
      <c r="Y38" s="147"/>
      <c r="Z38" s="147"/>
      <c r="AA38" s="147"/>
      <c r="AB38" s="147"/>
    </row>
    <row r="39" spans="1:28" s="19" customFormat="1" ht="15.5">
      <c r="A39" s="472">
        <v>23</v>
      </c>
      <c r="B39" s="473" t="s">
        <v>348</v>
      </c>
      <c r="C39" s="191">
        <f t="shared" si="4"/>
        <v>17002343000</v>
      </c>
      <c r="D39" s="191">
        <v>0</v>
      </c>
      <c r="E39" s="191">
        <v>17002343000</v>
      </c>
      <c r="F39" s="191">
        <f t="shared" si="5"/>
        <v>0</v>
      </c>
      <c r="G39" s="191"/>
      <c r="H39" s="191"/>
      <c r="I39" s="191">
        <f t="shared" si="6"/>
        <v>19151975067</v>
      </c>
      <c r="J39" s="191"/>
      <c r="K39" s="191">
        <v>19151975067</v>
      </c>
      <c r="L39" s="476"/>
      <c r="M39" s="191"/>
      <c r="N39" s="191">
        <f t="shared" si="7"/>
        <v>0</v>
      </c>
      <c r="O39" s="154"/>
      <c r="P39" s="154"/>
      <c r="Q39" s="154"/>
      <c r="R39" s="153">
        <f t="shared" si="2"/>
        <v>112.64315198793484</v>
      </c>
      <c r="S39" s="153"/>
      <c r="T39" s="153">
        <f t="shared" si="3"/>
        <v>112.64315198793484</v>
      </c>
      <c r="U39" s="147"/>
      <c r="V39" s="147"/>
      <c r="W39" s="147"/>
      <c r="X39" s="147"/>
      <c r="Y39" s="147"/>
      <c r="Z39" s="147"/>
      <c r="AA39" s="147"/>
      <c r="AB39" s="147"/>
    </row>
    <row r="40" spans="1:28" s="19" customFormat="1" ht="15.5">
      <c r="A40" s="472">
        <v>24</v>
      </c>
      <c r="B40" s="473" t="s">
        <v>350</v>
      </c>
      <c r="C40" s="191">
        <f t="shared" si="4"/>
        <v>2802751000</v>
      </c>
      <c r="D40" s="191">
        <v>0</v>
      </c>
      <c r="E40" s="477">
        <f>(2885.251-82.5)*1000000</f>
        <v>2802751000</v>
      </c>
      <c r="F40" s="191">
        <f t="shared" si="5"/>
        <v>1451500000</v>
      </c>
      <c r="G40" s="191"/>
      <c r="H40" s="191">
        <f>+'61'!E14</f>
        <v>1451500000</v>
      </c>
      <c r="I40" s="191">
        <f t="shared" si="6"/>
        <v>2890034922</v>
      </c>
      <c r="J40" s="191"/>
      <c r="K40" s="191">
        <f>48219000+4104000+1226184760+996639162+8888000</f>
        <v>2284034922</v>
      </c>
      <c r="L40" s="476"/>
      <c r="M40" s="191"/>
      <c r="N40" s="191">
        <f t="shared" si="7"/>
        <v>606000000</v>
      </c>
      <c r="O40" s="154"/>
      <c r="P40" s="155">
        <f>184134000+16800000+124000000+281066000</f>
        <v>606000000</v>
      </c>
      <c r="Q40" s="154"/>
      <c r="R40" s="153">
        <f t="shared" si="2"/>
        <v>103.11422320427323</v>
      </c>
      <c r="S40" s="153"/>
      <c r="T40" s="153">
        <f t="shared" si="3"/>
        <v>67.932872837075195</v>
      </c>
      <c r="U40" s="149">
        <f>418007646+75212620+121943000+143940000+1328390600+163000000+27127000</f>
        <v>2277620866</v>
      </c>
      <c r="V40" s="147"/>
      <c r="W40" s="147"/>
      <c r="X40" s="147"/>
      <c r="Y40" s="147"/>
      <c r="Z40" s="147"/>
      <c r="AA40" s="147"/>
      <c r="AB40" s="147"/>
    </row>
    <row r="41" spans="1:28" s="19" customFormat="1" ht="15.5">
      <c r="A41" s="472">
        <v>25</v>
      </c>
      <c r="B41" s="473" t="s">
        <v>351</v>
      </c>
      <c r="C41" s="191">
        <f t="shared" si="4"/>
        <v>707429000</v>
      </c>
      <c r="D41" s="191">
        <v>0</v>
      </c>
      <c r="E41" s="191">
        <v>707429000</v>
      </c>
      <c r="F41" s="191">
        <f t="shared" si="5"/>
        <v>10000000</v>
      </c>
      <c r="G41" s="191"/>
      <c r="H41" s="191">
        <f>+'61'!E21</f>
        <v>10000000</v>
      </c>
      <c r="I41" s="191">
        <f t="shared" si="6"/>
        <v>826137261</v>
      </c>
      <c r="J41" s="191"/>
      <c r="K41" s="191">
        <f>826137261-P41</f>
        <v>816137261</v>
      </c>
      <c r="L41" s="476"/>
      <c r="M41" s="191"/>
      <c r="N41" s="191">
        <f t="shared" si="7"/>
        <v>10000000</v>
      </c>
      <c r="O41" s="154"/>
      <c r="P41" s="155">
        <v>10000000</v>
      </c>
      <c r="Q41" s="154"/>
      <c r="R41" s="153">
        <f t="shared" si="2"/>
        <v>116.78023674460617</v>
      </c>
      <c r="S41" s="153"/>
      <c r="T41" s="153">
        <f t="shared" si="3"/>
        <v>115.15247655168665</v>
      </c>
      <c r="U41" s="147"/>
      <c r="V41" s="147"/>
      <c r="W41" s="147"/>
      <c r="X41" s="147"/>
      <c r="Y41" s="147"/>
      <c r="Z41" s="147"/>
      <c r="AA41" s="147"/>
      <c r="AB41" s="147"/>
    </row>
    <row r="42" spans="1:28" s="19" customFormat="1" ht="15.5">
      <c r="A42" s="472">
        <v>26</v>
      </c>
      <c r="B42" s="473" t="s">
        <v>528</v>
      </c>
      <c r="C42" s="191">
        <f t="shared" si="4"/>
        <v>1117882000</v>
      </c>
      <c r="D42" s="191">
        <v>0</v>
      </c>
      <c r="E42" s="191">
        <v>1117882000</v>
      </c>
      <c r="F42" s="191">
        <f>SUM(G42:H42)</f>
        <v>0</v>
      </c>
      <c r="G42" s="191"/>
      <c r="H42" s="191"/>
      <c r="I42" s="191">
        <f>SUM(J42:N42)</f>
        <v>1243906141</v>
      </c>
      <c r="J42" s="191"/>
      <c r="K42" s="191">
        <f>341494000+890646141+11766000</f>
        <v>1243906141</v>
      </c>
      <c r="L42" s="476"/>
      <c r="M42" s="191"/>
      <c r="N42" s="191">
        <f>SUM(O42:P42)</f>
        <v>0</v>
      </c>
      <c r="O42" s="154"/>
      <c r="P42" s="155"/>
      <c r="Q42" s="154"/>
      <c r="R42" s="153">
        <f>+I42/C42%</f>
        <v>111.27347439175155</v>
      </c>
      <c r="S42" s="153"/>
      <c r="T42" s="153">
        <f t="shared" si="3"/>
        <v>111.27347439175155</v>
      </c>
      <c r="U42" s="147"/>
      <c r="V42" s="147"/>
      <c r="W42" s="147"/>
      <c r="X42" s="147"/>
      <c r="Y42" s="147"/>
      <c r="Z42" s="147"/>
      <c r="AA42" s="147"/>
      <c r="AB42" s="147"/>
    </row>
    <row r="43" spans="1:28" s="19" customFormat="1" ht="15.5">
      <c r="A43" s="472">
        <v>27</v>
      </c>
      <c r="B43" s="473" t="s">
        <v>529</v>
      </c>
      <c r="C43" s="191">
        <f t="shared" si="4"/>
        <v>1040769000</v>
      </c>
      <c r="D43" s="191">
        <v>0</v>
      </c>
      <c r="E43" s="191">
        <v>1040769000</v>
      </c>
      <c r="F43" s="191">
        <f>SUM(G43:H43)</f>
        <v>0</v>
      </c>
      <c r="G43" s="191"/>
      <c r="H43" s="191"/>
      <c r="I43" s="191">
        <f>SUM(J43:N43)</f>
        <v>932682556</v>
      </c>
      <c r="J43" s="191"/>
      <c r="K43" s="191">
        <f>83344200+835929356+13409000</f>
        <v>932682556</v>
      </c>
      <c r="L43" s="476"/>
      <c r="M43" s="191"/>
      <c r="N43" s="191">
        <f>SUM(O43:P43)</f>
        <v>0</v>
      </c>
      <c r="O43" s="154"/>
      <c r="P43" s="155"/>
      <c r="Q43" s="154"/>
      <c r="R43" s="153">
        <f>+I43/C43%</f>
        <v>89.614751784497813</v>
      </c>
      <c r="S43" s="153"/>
      <c r="T43" s="153">
        <f t="shared" si="3"/>
        <v>89.614751784497813</v>
      </c>
      <c r="U43" s="147"/>
      <c r="V43" s="147"/>
      <c r="W43" s="147"/>
      <c r="X43" s="147"/>
      <c r="Y43" s="147"/>
      <c r="Z43" s="147"/>
      <c r="AA43" s="147"/>
      <c r="AB43" s="147"/>
    </row>
    <row r="44" spans="1:28" s="19" customFormat="1" ht="15.5">
      <c r="A44" s="472">
        <v>28</v>
      </c>
      <c r="B44" s="473" t="s">
        <v>530</v>
      </c>
      <c r="C44" s="191">
        <f t="shared" si="4"/>
        <v>7421074000</v>
      </c>
      <c r="D44" s="191">
        <v>6330000000</v>
      </c>
      <c r="E44" s="191">
        <v>1091074000</v>
      </c>
      <c r="F44" s="191">
        <f>SUM(G44:H44)</f>
        <v>0</v>
      </c>
      <c r="G44" s="191"/>
      <c r="H44" s="191"/>
      <c r="I44" s="191">
        <f>SUM(J44:N44)</f>
        <v>2421937066</v>
      </c>
      <c r="J44" s="191"/>
      <c r="K44" s="191">
        <v>2421937066</v>
      </c>
      <c r="L44" s="476"/>
      <c r="M44" s="191"/>
      <c r="N44" s="191">
        <f>SUM(O44:P44)</f>
        <v>0</v>
      </c>
      <c r="O44" s="154"/>
      <c r="P44" s="155"/>
      <c r="Q44" s="154"/>
      <c r="R44" s="153">
        <f>+I44/C44%</f>
        <v>32.635937412832696</v>
      </c>
      <c r="S44" s="153">
        <f>+(O44+J44)/(D44+G44)%</f>
        <v>0</v>
      </c>
      <c r="T44" s="153">
        <f t="shared" si="3"/>
        <v>221.97734214177956</v>
      </c>
      <c r="U44" s="147"/>
      <c r="V44" s="147"/>
      <c r="W44" s="147"/>
      <c r="X44" s="147"/>
      <c r="Y44" s="147"/>
      <c r="Z44" s="147"/>
      <c r="AA44" s="147"/>
      <c r="AB44" s="147"/>
    </row>
    <row r="45" spans="1:28" s="19" customFormat="1" ht="15.5">
      <c r="A45" s="472">
        <v>29</v>
      </c>
      <c r="B45" s="473" t="s">
        <v>112</v>
      </c>
      <c r="C45" s="191">
        <f t="shared" si="4"/>
        <v>25000000</v>
      </c>
      <c r="D45" s="191">
        <v>0</v>
      </c>
      <c r="E45" s="191">
        <v>25000000</v>
      </c>
      <c r="F45" s="191">
        <f t="shared" si="5"/>
        <v>0</v>
      </c>
      <c r="G45" s="191"/>
      <c r="H45" s="191"/>
      <c r="I45" s="191">
        <f t="shared" si="6"/>
        <v>25000000</v>
      </c>
      <c r="J45" s="191"/>
      <c r="K45" s="191">
        <v>25000000</v>
      </c>
      <c r="L45" s="476"/>
      <c r="M45" s="191"/>
      <c r="N45" s="191">
        <f t="shared" si="7"/>
        <v>0</v>
      </c>
      <c r="O45" s="154"/>
      <c r="P45" s="154"/>
      <c r="Q45" s="154"/>
      <c r="R45" s="153">
        <f t="shared" si="2"/>
        <v>100</v>
      </c>
      <c r="S45" s="153"/>
      <c r="T45" s="153">
        <f t="shared" si="3"/>
        <v>100</v>
      </c>
      <c r="U45" s="147"/>
      <c r="V45" s="147"/>
      <c r="W45" s="147"/>
      <c r="X45" s="147"/>
      <c r="Y45" s="147"/>
      <c r="Z45" s="147"/>
      <c r="AA45" s="147"/>
      <c r="AB45" s="147"/>
    </row>
    <row r="46" spans="1:28" s="19" customFormat="1" ht="15.5">
      <c r="A46" s="472">
        <v>30</v>
      </c>
      <c r="B46" s="473" t="s">
        <v>113</v>
      </c>
      <c r="C46" s="191">
        <f t="shared" si="4"/>
        <v>25000000</v>
      </c>
      <c r="D46" s="191">
        <v>0</v>
      </c>
      <c r="E46" s="191">
        <v>25000000</v>
      </c>
      <c r="F46" s="191">
        <f t="shared" si="5"/>
        <v>0</v>
      </c>
      <c r="G46" s="191"/>
      <c r="H46" s="191"/>
      <c r="I46" s="191">
        <f t="shared" si="6"/>
        <v>24824136</v>
      </c>
      <c r="J46" s="191"/>
      <c r="K46" s="191">
        <v>24824136</v>
      </c>
      <c r="L46" s="476"/>
      <c r="M46" s="191"/>
      <c r="N46" s="191">
        <f t="shared" si="7"/>
        <v>0</v>
      </c>
      <c r="O46" s="154"/>
      <c r="P46" s="154"/>
      <c r="Q46" s="154"/>
      <c r="R46" s="153">
        <f t="shared" si="2"/>
        <v>99.296543999999997</v>
      </c>
      <c r="S46" s="153"/>
      <c r="T46" s="153">
        <f t="shared" si="3"/>
        <v>99.296543999999997</v>
      </c>
      <c r="U46" s="147"/>
      <c r="V46" s="147"/>
      <c r="W46" s="147"/>
      <c r="X46" s="147"/>
      <c r="Y46" s="147"/>
      <c r="Z46" s="147"/>
      <c r="AA46" s="147"/>
      <c r="AB46" s="147"/>
    </row>
    <row r="47" spans="1:28" s="19" customFormat="1" ht="15.5">
      <c r="A47" s="472">
        <v>31</v>
      </c>
      <c r="B47" s="473" t="s">
        <v>114</v>
      </c>
      <c r="C47" s="191">
        <f t="shared" si="4"/>
        <v>25000000</v>
      </c>
      <c r="D47" s="191">
        <v>0</v>
      </c>
      <c r="E47" s="191">
        <v>25000000</v>
      </c>
      <c r="F47" s="191">
        <f t="shared" si="5"/>
        <v>0</v>
      </c>
      <c r="G47" s="191"/>
      <c r="H47" s="191"/>
      <c r="I47" s="191">
        <f t="shared" si="6"/>
        <v>22667148</v>
      </c>
      <c r="J47" s="191"/>
      <c r="K47" s="191">
        <v>22667148</v>
      </c>
      <c r="L47" s="476"/>
      <c r="M47" s="191"/>
      <c r="N47" s="191">
        <f t="shared" si="7"/>
        <v>0</v>
      </c>
      <c r="O47" s="154"/>
      <c r="P47" s="154"/>
      <c r="Q47" s="154"/>
      <c r="R47" s="153">
        <f t="shared" si="2"/>
        <v>90.668592000000004</v>
      </c>
      <c r="S47" s="153"/>
      <c r="T47" s="153">
        <f t="shared" si="3"/>
        <v>90.668592000000004</v>
      </c>
      <c r="U47" s="147"/>
      <c r="V47" s="147"/>
      <c r="W47" s="147"/>
      <c r="X47" s="147"/>
      <c r="Y47" s="147"/>
      <c r="Z47" s="147"/>
      <c r="AA47" s="147"/>
      <c r="AB47" s="147"/>
    </row>
    <row r="48" spans="1:28" s="19" customFormat="1" ht="15.5">
      <c r="A48" s="472">
        <v>32</v>
      </c>
      <c r="B48" s="473" t="s">
        <v>115</v>
      </c>
      <c r="C48" s="191">
        <f t="shared" si="4"/>
        <v>380000000</v>
      </c>
      <c r="D48" s="191">
        <v>0</v>
      </c>
      <c r="E48" s="191">
        <v>380000000</v>
      </c>
      <c r="F48" s="191">
        <f t="shared" si="5"/>
        <v>0</v>
      </c>
      <c r="G48" s="191"/>
      <c r="H48" s="191"/>
      <c r="I48" s="191">
        <f>SUM(J48:N48)</f>
        <v>371470000</v>
      </c>
      <c r="J48" s="191"/>
      <c r="K48" s="191">
        <v>371470000</v>
      </c>
      <c r="L48" s="476"/>
      <c r="M48" s="191"/>
      <c r="N48" s="191">
        <f t="shared" ref="N48:N56" si="8">SUM(O48:P48)</f>
        <v>0</v>
      </c>
      <c r="O48" s="155"/>
      <c r="P48" s="154"/>
      <c r="Q48" s="154"/>
      <c r="R48" s="153"/>
      <c r="S48" s="153"/>
      <c r="T48" s="153">
        <f t="shared" si="3"/>
        <v>97.755263157894731</v>
      </c>
      <c r="U48" s="147"/>
      <c r="V48" s="147"/>
      <c r="W48" s="147"/>
      <c r="X48" s="147"/>
      <c r="Y48" s="147"/>
      <c r="Z48" s="147"/>
      <c r="AA48" s="147"/>
      <c r="AB48" s="147"/>
    </row>
    <row r="49" spans="1:28" s="19" customFormat="1" ht="15.5">
      <c r="A49" s="472">
        <v>33</v>
      </c>
      <c r="B49" s="473" t="s">
        <v>116</v>
      </c>
      <c r="C49" s="191">
        <f t="shared" si="4"/>
        <v>850000000</v>
      </c>
      <c r="D49" s="191">
        <v>850000000</v>
      </c>
      <c r="E49" s="191">
        <v>0</v>
      </c>
      <c r="F49" s="191">
        <f t="shared" si="5"/>
        <v>3171000000</v>
      </c>
      <c r="G49" s="191">
        <f>+'61'!D18</f>
        <v>3171000000</v>
      </c>
      <c r="H49" s="191"/>
      <c r="I49" s="191">
        <f t="shared" ref="I49:I54" si="9">SUM(J49:N49)</f>
        <v>4749289046</v>
      </c>
      <c r="J49" s="191">
        <v>850000000</v>
      </c>
      <c r="K49" s="191">
        <f>585941000+113664000</f>
        <v>699605000</v>
      </c>
      <c r="L49" s="476"/>
      <c r="M49" s="191"/>
      <c r="N49" s="191">
        <f t="shared" si="8"/>
        <v>3199684046</v>
      </c>
      <c r="O49" s="155">
        <f>+'55'!D15-J49</f>
        <v>3199684046</v>
      </c>
      <c r="P49" s="154"/>
      <c r="Q49" s="154"/>
      <c r="R49" s="153"/>
      <c r="S49" s="153">
        <f>+(O49+J49)/(D49+G49)%</f>
        <v>100.7133560308381</v>
      </c>
      <c r="T49" s="153"/>
      <c r="U49" s="147"/>
      <c r="V49" s="147"/>
      <c r="W49" s="147"/>
      <c r="X49" s="147"/>
      <c r="Y49" s="147"/>
      <c r="Z49" s="147"/>
      <c r="AA49" s="147"/>
      <c r="AB49" s="147"/>
    </row>
    <row r="50" spans="1:28" s="19" customFormat="1" ht="15.5">
      <c r="A50" s="472">
        <v>34</v>
      </c>
      <c r="B50" s="473" t="s">
        <v>117</v>
      </c>
      <c r="C50" s="191">
        <f t="shared" si="4"/>
        <v>250000000</v>
      </c>
      <c r="D50" s="191">
        <v>250000000</v>
      </c>
      <c r="E50" s="191">
        <v>0</v>
      </c>
      <c r="F50" s="191">
        <f t="shared" si="5"/>
        <v>4935000000</v>
      </c>
      <c r="G50" s="191">
        <f>+'61'!D16</f>
        <v>4935000000</v>
      </c>
      <c r="H50" s="191"/>
      <c r="I50" s="191">
        <f t="shared" si="9"/>
        <v>6411280490</v>
      </c>
      <c r="J50" s="191">
        <v>250000000</v>
      </c>
      <c r="K50" s="191">
        <v>24153600</v>
      </c>
      <c r="L50" s="476"/>
      <c r="M50" s="191"/>
      <c r="N50" s="191">
        <f t="shared" si="8"/>
        <v>6137126890</v>
      </c>
      <c r="O50" s="191">
        <f>+'55'!D16-J50</f>
        <v>6137126890</v>
      </c>
      <c r="P50" s="154"/>
      <c r="Q50" s="154"/>
      <c r="R50" s="153"/>
      <c r="S50" s="153">
        <f>+(O50+J50)/(D50+G50)%</f>
        <v>123.18470376084861</v>
      </c>
      <c r="T50" s="153"/>
      <c r="U50" s="147"/>
      <c r="V50" s="147"/>
      <c r="W50" s="147"/>
      <c r="X50" s="147"/>
      <c r="Y50" s="147"/>
      <c r="Z50" s="147"/>
      <c r="AA50" s="147"/>
      <c r="AB50" s="147"/>
    </row>
    <row r="51" spans="1:28" s="19" customFormat="1" ht="15.5">
      <c r="A51" s="472">
        <v>35</v>
      </c>
      <c r="B51" s="473" t="s">
        <v>118</v>
      </c>
      <c r="C51" s="191">
        <f t="shared" si="4"/>
        <v>250000000</v>
      </c>
      <c r="D51" s="191">
        <v>250000000</v>
      </c>
      <c r="E51" s="191">
        <v>0</v>
      </c>
      <c r="F51" s="191">
        <f t="shared" si="5"/>
        <v>8512000000</v>
      </c>
      <c r="G51" s="191">
        <f>+'61'!D17</f>
        <v>8512000000</v>
      </c>
      <c r="H51" s="191"/>
      <c r="I51" s="191">
        <f t="shared" si="9"/>
        <v>8892351050</v>
      </c>
      <c r="J51" s="191">
        <v>239700000</v>
      </c>
      <c r="K51" s="191">
        <v>75302400</v>
      </c>
      <c r="L51" s="476"/>
      <c r="M51" s="191"/>
      <c r="N51" s="191">
        <f t="shared" si="8"/>
        <v>8577348650</v>
      </c>
      <c r="O51" s="191">
        <f>+'55'!D17-J51</f>
        <v>8577348650</v>
      </c>
      <c r="P51" s="154"/>
      <c r="Q51" s="154"/>
      <c r="R51" s="153"/>
      <c r="S51" s="153">
        <f>+(O51+J51)/(D51+G51)%</f>
        <v>100.62826580689341</v>
      </c>
      <c r="T51" s="153"/>
      <c r="U51" s="147"/>
      <c r="V51" s="147"/>
      <c r="W51" s="147"/>
      <c r="X51" s="147"/>
      <c r="Y51" s="147"/>
      <c r="Z51" s="147"/>
      <c r="AA51" s="147"/>
      <c r="AB51" s="147"/>
    </row>
    <row r="52" spans="1:28" s="19" customFormat="1" ht="28">
      <c r="A52" s="472">
        <v>36</v>
      </c>
      <c r="B52" s="473" t="s">
        <v>357</v>
      </c>
      <c r="C52" s="191">
        <f t="shared" si="4"/>
        <v>310000000</v>
      </c>
      <c r="D52" s="191">
        <v>0</v>
      </c>
      <c r="E52" s="191">
        <v>310000000</v>
      </c>
      <c r="F52" s="191">
        <f t="shared" si="5"/>
        <v>0</v>
      </c>
      <c r="G52" s="191"/>
      <c r="H52" s="191"/>
      <c r="I52" s="191">
        <f t="shared" si="9"/>
        <v>271654563</v>
      </c>
      <c r="J52" s="191"/>
      <c r="K52" s="191">
        <v>271654563</v>
      </c>
      <c r="L52" s="476"/>
      <c r="M52" s="191"/>
      <c r="N52" s="191">
        <f t="shared" si="8"/>
        <v>0</v>
      </c>
      <c r="O52" s="155"/>
      <c r="P52" s="154"/>
      <c r="Q52" s="154"/>
      <c r="R52" s="153">
        <f t="shared" si="2"/>
        <v>87.63050419354839</v>
      </c>
      <c r="S52" s="153"/>
      <c r="T52" s="153">
        <f t="shared" si="3"/>
        <v>87.63050419354839</v>
      </c>
      <c r="U52" s="147"/>
      <c r="V52" s="147"/>
      <c r="W52" s="147"/>
      <c r="X52" s="147"/>
      <c r="Y52" s="147"/>
      <c r="Z52" s="147"/>
      <c r="AA52" s="147"/>
      <c r="AB52" s="147"/>
    </row>
    <row r="53" spans="1:28" s="19" customFormat="1" ht="15.5">
      <c r="A53" s="472">
        <v>37</v>
      </c>
      <c r="B53" s="473" t="s">
        <v>119</v>
      </c>
      <c r="C53" s="191">
        <f t="shared" si="4"/>
        <v>0</v>
      </c>
      <c r="D53" s="191">
        <v>0</v>
      </c>
      <c r="E53" s="191">
        <v>0</v>
      </c>
      <c r="F53" s="191">
        <f t="shared" si="5"/>
        <v>0</v>
      </c>
      <c r="G53" s="191"/>
      <c r="H53" s="191"/>
      <c r="I53" s="191">
        <f t="shared" si="9"/>
        <v>30000000</v>
      </c>
      <c r="J53" s="191"/>
      <c r="K53" s="191">
        <v>30000000</v>
      </c>
      <c r="L53" s="476"/>
      <c r="M53" s="191"/>
      <c r="N53" s="191">
        <f t="shared" si="8"/>
        <v>0</v>
      </c>
      <c r="O53" s="154"/>
      <c r="P53" s="154"/>
      <c r="Q53" s="154"/>
      <c r="R53" s="153"/>
      <c r="S53" s="153"/>
      <c r="T53" s="153"/>
      <c r="U53" s="147"/>
      <c r="V53" s="147"/>
      <c r="W53" s="147"/>
      <c r="X53" s="147"/>
      <c r="Y53" s="147"/>
      <c r="Z53" s="147"/>
      <c r="AA53" s="147"/>
      <c r="AB53" s="147"/>
    </row>
    <row r="54" spans="1:28" s="19" customFormat="1" ht="15.5">
      <c r="A54" s="472">
        <v>38</v>
      </c>
      <c r="B54" s="473" t="s">
        <v>120</v>
      </c>
      <c r="C54" s="191">
        <f t="shared" si="4"/>
        <v>0</v>
      </c>
      <c r="D54" s="191">
        <v>0</v>
      </c>
      <c r="E54" s="191">
        <v>0</v>
      </c>
      <c r="F54" s="191">
        <f t="shared" si="5"/>
        <v>0</v>
      </c>
      <c r="G54" s="191"/>
      <c r="H54" s="191"/>
      <c r="I54" s="191">
        <f t="shared" si="9"/>
        <v>20000000</v>
      </c>
      <c r="J54" s="191"/>
      <c r="K54" s="191">
        <v>20000000</v>
      </c>
      <c r="L54" s="476"/>
      <c r="M54" s="191"/>
      <c r="N54" s="191">
        <f t="shared" si="8"/>
        <v>0</v>
      </c>
      <c r="O54" s="154"/>
      <c r="P54" s="154"/>
      <c r="Q54" s="154"/>
      <c r="R54" s="153"/>
      <c r="S54" s="153"/>
      <c r="T54" s="153"/>
      <c r="U54" s="147"/>
      <c r="V54" s="147"/>
      <c r="W54" s="147"/>
      <c r="X54" s="147"/>
      <c r="Y54" s="147"/>
      <c r="Z54" s="147"/>
      <c r="AA54" s="147"/>
      <c r="AB54" s="147"/>
    </row>
    <row r="55" spans="1:28" s="19" customFormat="1" ht="15.5">
      <c r="A55" s="472">
        <v>39</v>
      </c>
      <c r="B55" s="473" t="s">
        <v>360</v>
      </c>
      <c r="C55" s="191">
        <f t="shared" si="4"/>
        <v>47000000</v>
      </c>
      <c r="D55" s="191">
        <v>0</v>
      </c>
      <c r="E55" s="191">
        <f>(65-18)*1000000</f>
        <v>47000000</v>
      </c>
      <c r="F55" s="191">
        <f t="shared" si="5"/>
        <v>18000000</v>
      </c>
      <c r="G55" s="191"/>
      <c r="H55" s="191">
        <f>+'61'!E22</f>
        <v>18000000</v>
      </c>
      <c r="I55" s="191">
        <f t="shared" ref="I55:I60" si="10">SUM(J55:N55)</f>
        <v>58500000</v>
      </c>
      <c r="J55" s="191"/>
      <c r="K55" s="191">
        <v>40500000</v>
      </c>
      <c r="L55" s="476"/>
      <c r="M55" s="191"/>
      <c r="N55" s="191">
        <f t="shared" si="8"/>
        <v>18000000</v>
      </c>
      <c r="O55" s="154"/>
      <c r="P55" s="154">
        <v>18000000</v>
      </c>
      <c r="Q55" s="154"/>
      <c r="R55" s="153">
        <f t="shared" si="2"/>
        <v>124.46808510638297</v>
      </c>
      <c r="S55" s="153"/>
      <c r="T55" s="153">
        <f t="shared" si="3"/>
        <v>90</v>
      </c>
      <c r="U55" s="150">
        <v>315503750</v>
      </c>
      <c r="V55" s="147"/>
      <c r="W55" s="147"/>
      <c r="X55" s="147"/>
      <c r="Y55" s="147"/>
      <c r="Z55" s="147"/>
      <c r="AA55" s="147"/>
      <c r="AB55" s="147"/>
    </row>
    <row r="56" spans="1:28" s="19" customFormat="1" ht="28">
      <c r="A56" s="472">
        <v>40</v>
      </c>
      <c r="B56" s="473" t="s">
        <v>362</v>
      </c>
      <c r="C56" s="191">
        <f t="shared" si="4"/>
        <v>0</v>
      </c>
      <c r="D56" s="191">
        <v>0</v>
      </c>
      <c r="E56" s="191">
        <v>0</v>
      </c>
      <c r="F56" s="191">
        <f>SUM(G56:H56)</f>
        <v>0</v>
      </c>
      <c r="G56" s="191"/>
      <c r="H56" s="191"/>
      <c r="I56" s="191">
        <f t="shared" si="10"/>
        <v>14160000</v>
      </c>
      <c r="J56" s="191"/>
      <c r="K56" s="191">
        <v>14160000</v>
      </c>
      <c r="L56" s="191"/>
      <c r="M56" s="191"/>
      <c r="N56" s="191">
        <f t="shared" si="8"/>
        <v>0</v>
      </c>
      <c r="O56" s="191"/>
      <c r="P56" s="191"/>
      <c r="Q56" s="154"/>
      <c r="R56" s="153"/>
      <c r="S56" s="153"/>
      <c r="T56" s="153"/>
      <c r="U56" s="146">
        <f>+'48_'!D71-'54 (2)'!U55</f>
        <v>-315503750</v>
      </c>
      <c r="V56" s="147"/>
      <c r="W56" s="147"/>
      <c r="X56" s="147"/>
      <c r="Y56" s="147"/>
      <c r="Z56" s="147"/>
      <c r="AA56" s="147"/>
      <c r="AB56" s="147"/>
    </row>
    <row r="57" spans="1:28" s="19" customFormat="1" ht="15.5">
      <c r="A57" s="472">
        <v>41</v>
      </c>
      <c r="B57" s="473" t="s">
        <v>532</v>
      </c>
      <c r="C57" s="191">
        <f t="shared" si="4"/>
        <v>1200000000</v>
      </c>
      <c r="D57" s="191">
        <v>0</v>
      </c>
      <c r="E57" s="191">
        <v>1200000000</v>
      </c>
      <c r="F57" s="191">
        <f>SUM(G57:H57)</f>
        <v>0</v>
      </c>
      <c r="G57" s="191"/>
      <c r="H57" s="191"/>
      <c r="I57" s="191">
        <f t="shared" si="10"/>
        <v>1200000000</v>
      </c>
      <c r="J57" s="191"/>
      <c r="K57" s="191">
        <v>1200000000</v>
      </c>
      <c r="L57" s="476"/>
      <c r="M57" s="191"/>
      <c r="N57" s="191"/>
      <c r="O57" s="154"/>
      <c r="P57" s="154"/>
      <c r="Q57" s="154"/>
      <c r="R57" s="153">
        <f t="shared" si="2"/>
        <v>100</v>
      </c>
      <c r="S57" s="153"/>
      <c r="T57" s="153">
        <f t="shared" si="3"/>
        <v>100</v>
      </c>
      <c r="U57" s="147"/>
      <c r="V57" s="147"/>
      <c r="W57" s="147"/>
      <c r="X57" s="147"/>
      <c r="Y57" s="147"/>
      <c r="Z57" s="147"/>
      <c r="AA57" s="147"/>
      <c r="AB57" s="147"/>
    </row>
    <row r="58" spans="1:28" s="19" customFormat="1" ht="15.5">
      <c r="A58" s="472">
        <v>42</v>
      </c>
      <c r="B58" s="473" t="s">
        <v>557</v>
      </c>
      <c r="C58" s="191">
        <f t="shared" si="4"/>
        <v>0</v>
      </c>
      <c r="D58" s="191">
        <v>0</v>
      </c>
      <c r="E58" s="191">
        <v>0</v>
      </c>
      <c r="F58" s="191">
        <f>SUM(G58:H58)</f>
        <v>0</v>
      </c>
      <c r="G58" s="191"/>
      <c r="H58" s="191"/>
      <c r="I58" s="191">
        <f t="shared" si="10"/>
        <v>45144000</v>
      </c>
      <c r="J58" s="191"/>
      <c r="K58" s="191">
        <v>45144000</v>
      </c>
      <c r="L58" s="476"/>
      <c r="M58" s="191"/>
      <c r="N58" s="191"/>
      <c r="O58" s="154"/>
      <c r="P58" s="154"/>
      <c r="Q58" s="154"/>
      <c r="R58" s="153"/>
      <c r="S58" s="153"/>
      <c r="T58" s="153"/>
      <c r="U58" s="147"/>
      <c r="V58" s="147"/>
      <c r="W58" s="147"/>
      <c r="X58" s="147"/>
      <c r="Y58" s="147"/>
      <c r="Z58" s="147"/>
      <c r="AA58" s="147"/>
      <c r="AB58" s="147"/>
    </row>
    <row r="59" spans="1:28" s="19" customFormat="1" ht="15.5">
      <c r="A59" s="472">
        <v>43</v>
      </c>
      <c r="B59" s="473" t="s">
        <v>533</v>
      </c>
      <c r="C59" s="191">
        <f>+D59+E59</f>
        <v>0</v>
      </c>
      <c r="D59" s="191">
        <v>0</v>
      </c>
      <c r="E59" s="191">
        <v>0</v>
      </c>
      <c r="F59" s="191">
        <f>SUM(G59:H59)</f>
        <v>0</v>
      </c>
      <c r="G59" s="191"/>
      <c r="H59" s="191"/>
      <c r="I59" s="191">
        <f t="shared" si="10"/>
        <v>200000000</v>
      </c>
      <c r="J59" s="191"/>
      <c r="K59" s="191">
        <v>200000000</v>
      </c>
      <c r="L59" s="476"/>
      <c r="M59" s="191"/>
      <c r="N59" s="191"/>
      <c r="O59" s="154"/>
      <c r="P59" s="154"/>
      <c r="Q59" s="154"/>
      <c r="R59" s="153"/>
      <c r="S59" s="153"/>
      <c r="T59" s="153"/>
      <c r="U59" s="147"/>
      <c r="V59" s="147"/>
      <c r="W59" s="147"/>
      <c r="X59" s="147"/>
      <c r="Y59" s="147"/>
      <c r="Z59" s="147"/>
      <c r="AA59" s="147"/>
      <c r="AB59" s="147"/>
    </row>
    <row r="60" spans="1:28" s="19" customFormat="1" ht="15.5">
      <c r="A60" s="472">
        <v>44</v>
      </c>
      <c r="B60" s="473" t="s">
        <v>359</v>
      </c>
      <c r="C60" s="191">
        <f t="shared" si="4"/>
        <v>1113284000</v>
      </c>
      <c r="D60" s="191">
        <v>0</v>
      </c>
      <c r="E60" s="191">
        <v>1113284000</v>
      </c>
      <c r="F60" s="191">
        <f>SUM(G60:H60)</f>
        <v>571000000</v>
      </c>
      <c r="G60" s="191">
        <f>+'61'!D28</f>
        <v>571000000</v>
      </c>
      <c r="H60" s="158"/>
      <c r="I60" s="191">
        <f t="shared" si="10"/>
        <v>0</v>
      </c>
      <c r="J60" s="191"/>
      <c r="K60" s="191"/>
      <c r="L60" s="476"/>
      <c r="M60" s="191"/>
      <c r="N60" s="191"/>
      <c r="O60" s="154"/>
      <c r="P60" s="154"/>
      <c r="Q60" s="154"/>
      <c r="R60" s="153">
        <f t="shared" si="2"/>
        <v>0</v>
      </c>
      <c r="S60" s="153">
        <f>+(O60+J60)/(D60+G60)%</f>
        <v>0</v>
      </c>
      <c r="T60" s="153">
        <f t="shared" si="3"/>
        <v>0</v>
      </c>
      <c r="U60" s="151">
        <f>+U55-6720000</f>
        <v>308783750</v>
      </c>
      <c r="V60" s="147"/>
      <c r="W60" s="147"/>
      <c r="X60" s="147"/>
      <c r="Y60" s="147"/>
      <c r="Z60" s="147"/>
      <c r="AA60" s="147"/>
      <c r="AB60" s="147"/>
    </row>
    <row r="61" spans="1:28" s="19" customFormat="1" ht="15.5">
      <c r="A61" s="403" t="s">
        <v>9</v>
      </c>
      <c r="B61" s="471" t="s">
        <v>85</v>
      </c>
      <c r="C61" s="158">
        <f>SUM(D61:F61)</f>
        <v>2307300000</v>
      </c>
      <c r="D61" s="158"/>
      <c r="E61" s="158">
        <v>2307300000</v>
      </c>
      <c r="F61" s="191">
        <f t="shared" si="5"/>
        <v>0</v>
      </c>
      <c r="G61" s="158"/>
      <c r="H61" s="158"/>
      <c r="I61" s="191">
        <f t="shared" si="6"/>
        <v>0</v>
      </c>
      <c r="J61" s="158"/>
      <c r="K61" s="191"/>
      <c r="L61" s="158"/>
      <c r="M61" s="158"/>
      <c r="N61" s="158"/>
      <c r="O61" s="158"/>
      <c r="P61" s="158"/>
      <c r="Q61" s="154"/>
      <c r="R61" s="153">
        <f t="shared" si="2"/>
        <v>0</v>
      </c>
      <c r="S61" s="153"/>
      <c r="T61" s="153"/>
      <c r="U61" s="147"/>
      <c r="V61" s="147"/>
      <c r="W61" s="147"/>
      <c r="X61" s="147"/>
      <c r="Y61" s="147"/>
      <c r="Z61" s="147"/>
      <c r="AA61" s="147"/>
      <c r="AB61" s="147"/>
    </row>
    <row r="62" spans="1:28" s="19" customFormat="1" ht="15.5" hidden="1">
      <c r="A62" s="403" t="s">
        <v>12</v>
      </c>
      <c r="B62" s="471" t="s">
        <v>86</v>
      </c>
      <c r="C62" s="191">
        <f>SUM(D62:F62)</f>
        <v>0</v>
      </c>
      <c r="D62" s="158"/>
      <c r="E62" s="158"/>
      <c r="F62" s="191">
        <f t="shared" si="5"/>
        <v>0</v>
      </c>
      <c r="G62" s="158"/>
      <c r="H62" s="158"/>
      <c r="I62" s="191">
        <f t="shared" si="6"/>
        <v>0</v>
      </c>
      <c r="J62" s="158"/>
      <c r="K62" s="191"/>
      <c r="L62" s="158"/>
      <c r="M62" s="158"/>
      <c r="N62" s="158"/>
      <c r="O62" s="158"/>
      <c r="P62" s="158"/>
      <c r="Q62" s="154"/>
      <c r="R62" s="153" t="e">
        <f t="shared" si="2"/>
        <v>#DIV/0!</v>
      </c>
      <c r="S62" s="153"/>
      <c r="T62" s="153"/>
      <c r="U62" s="147"/>
      <c r="V62" s="147"/>
      <c r="W62" s="147"/>
      <c r="X62" s="147"/>
      <c r="Y62" s="147"/>
      <c r="Z62" s="147"/>
      <c r="AA62" s="147"/>
      <c r="AB62" s="147"/>
    </row>
    <row r="63" spans="1:28" s="19" customFormat="1" ht="15.5">
      <c r="A63" s="403" t="s">
        <v>12</v>
      </c>
      <c r="B63" s="471" t="s">
        <v>377</v>
      </c>
      <c r="C63" s="191">
        <f>SUM(D63:F63)</f>
        <v>67078352000</v>
      </c>
      <c r="D63" s="158"/>
      <c r="E63" s="478">
        <f>563000000+26529352000</f>
        <v>27092352000</v>
      </c>
      <c r="F63" s="191">
        <f t="shared" si="5"/>
        <v>39986000000</v>
      </c>
      <c r="G63" s="158"/>
      <c r="H63" s="191">
        <v>39986000000</v>
      </c>
      <c r="I63" s="479">
        <f>SUM(J63:Q63)</f>
        <v>68036827000</v>
      </c>
      <c r="J63" s="158"/>
      <c r="K63" s="191"/>
      <c r="L63" s="158"/>
      <c r="M63" s="158"/>
      <c r="N63" s="158"/>
      <c r="O63" s="158"/>
      <c r="P63" s="158"/>
      <c r="Q63" s="155">
        <f>+'49_'!D30</f>
        <v>68036827000</v>
      </c>
      <c r="R63" s="153"/>
      <c r="S63" s="153"/>
      <c r="T63" s="153"/>
      <c r="U63" s="147"/>
      <c r="V63" s="147"/>
      <c r="W63" s="147"/>
      <c r="X63" s="147"/>
      <c r="Y63" s="147"/>
      <c r="Z63" s="147"/>
      <c r="AA63" s="147"/>
      <c r="AB63" s="147"/>
    </row>
    <row r="64" spans="1:28" s="19" customFormat="1" ht="15.5">
      <c r="A64" s="403" t="s">
        <v>13</v>
      </c>
      <c r="B64" s="471" t="s">
        <v>54</v>
      </c>
      <c r="C64" s="191">
        <f>SUM(D64:F64)</f>
        <v>0</v>
      </c>
      <c r="D64" s="158"/>
      <c r="E64" s="158"/>
      <c r="F64" s="191">
        <f t="shared" si="5"/>
        <v>0</v>
      </c>
      <c r="G64" s="158"/>
      <c r="H64" s="158"/>
      <c r="I64" s="479">
        <f>SUM(J64:Q64)</f>
        <v>179714278</v>
      </c>
      <c r="J64" s="158"/>
      <c r="K64" s="191"/>
      <c r="L64" s="158"/>
      <c r="M64" s="158"/>
      <c r="N64" s="158"/>
      <c r="O64" s="158"/>
      <c r="P64" s="158"/>
      <c r="Q64" s="155">
        <f>+'49_'!D32</f>
        <v>179714278</v>
      </c>
      <c r="R64" s="153"/>
      <c r="S64" s="153"/>
      <c r="T64" s="153"/>
      <c r="U64" s="147"/>
      <c r="V64" s="147"/>
      <c r="W64" s="147"/>
      <c r="X64" s="147"/>
      <c r="Y64" s="147"/>
      <c r="Z64" s="147"/>
      <c r="AA64" s="147"/>
      <c r="AB64" s="147"/>
    </row>
    <row r="65" spans="1:28" s="19" customFormat="1" ht="28">
      <c r="A65" s="403" t="s">
        <v>15</v>
      </c>
      <c r="B65" s="471" t="s">
        <v>47</v>
      </c>
      <c r="C65" s="158"/>
      <c r="D65" s="158"/>
      <c r="E65" s="158"/>
      <c r="F65" s="191">
        <f t="shared" si="5"/>
        <v>0</v>
      </c>
      <c r="G65" s="158"/>
      <c r="H65" s="158"/>
      <c r="I65" s="479">
        <f>SUM(J65:Q65)</f>
        <v>115679516727</v>
      </c>
      <c r="J65" s="158"/>
      <c r="K65" s="479"/>
      <c r="L65" s="158"/>
      <c r="M65" s="158"/>
      <c r="N65" s="158"/>
      <c r="O65" s="158"/>
      <c r="P65" s="158"/>
      <c r="Q65" s="155">
        <f>+'49_'!D29</f>
        <v>115679516727</v>
      </c>
      <c r="R65" s="153"/>
      <c r="S65" s="153"/>
      <c r="T65" s="153"/>
      <c r="U65" s="147"/>
      <c r="V65" s="147"/>
      <c r="W65" s="147"/>
      <c r="X65" s="147"/>
      <c r="Y65" s="147"/>
      <c r="Z65" s="147"/>
      <c r="AA65" s="147"/>
      <c r="AB65" s="147"/>
    </row>
    <row r="66" spans="1:28" s="19" customFormat="1" ht="15.5">
      <c r="K66" s="20"/>
      <c r="U66" s="147"/>
      <c r="V66" s="147"/>
      <c r="W66" s="147"/>
      <c r="X66" s="147"/>
      <c r="Y66" s="147"/>
      <c r="Z66" s="147"/>
      <c r="AA66" s="147"/>
      <c r="AB66" s="147"/>
    </row>
    <row r="67" spans="1:28" s="147" customFormat="1" ht="15.5">
      <c r="C67" s="146">
        <f>+C61+C16</f>
        <v>137738448000</v>
      </c>
      <c r="G67" s="146"/>
      <c r="K67" s="425"/>
    </row>
    <row r="68" spans="1:28" s="147" customFormat="1" ht="15.5">
      <c r="C68" s="146">
        <f>+C67-102844780000</f>
        <v>34893668000</v>
      </c>
      <c r="K68" s="425"/>
    </row>
    <row r="69" spans="1:28" s="147" customFormat="1" ht="15.5">
      <c r="K69" s="425"/>
    </row>
    <row r="70" spans="1:28" s="147" customFormat="1" ht="15.5">
      <c r="K70" s="425"/>
    </row>
    <row r="71" spans="1:28" s="19" customFormat="1" ht="15.5">
      <c r="K71" s="20"/>
      <c r="U71" s="147"/>
      <c r="V71" s="147"/>
      <c r="W71" s="147"/>
      <c r="X71" s="147"/>
      <c r="Y71" s="147"/>
      <c r="Z71" s="147"/>
      <c r="AA71" s="147"/>
      <c r="AB71" s="147"/>
    </row>
    <row r="72" spans="1:28" s="19" customFormat="1" ht="15.5">
      <c r="K72" s="20"/>
      <c r="U72" s="147"/>
      <c r="V72" s="147"/>
      <c r="W72" s="147"/>
      <c r="X72" s="147"/>
      <c r="Y72" s="147"/>
      <c r="Z72" s="147"/>
      <c r="AA72" s="147"/>
      <c r="AB72" s="147"/>
    </row>
    <row r="73" spans="1:28" s="19" customFormat="1" ht="15.5">
      <c r="K73" s="20"/>
      <c r="U73" s="147"/>
      <c r="V73" s="147"/>
      <c r="W73" s="147"/>
      <c r="X73" s="147"/>
      <c r="Y73" s="147"/>
      <c r="Z73" s="147"/>
      <c r="AA73" s="147"/>
      <c r="AB73" s="147"/>
    </row>
    <row r="74" spans="1:28" s="19" customFormat="1" ht="15.5">
      <c r="K74" s="20"/>
      <c r="U74" s="147"/>
      <c r="V74" s="147"/>
      <c r="W74" s="147"/>
      <c r="X74" s="147"/>
      <c r="Y74" s="147"/>
      <c r="Z74" s="147"/>
      <c r="AA74" s="147"/>
      <c r="AB74" s="147"/>
    </row>
    <row r="75" spans="1:28" s="19" customFormat="1" ht="15.5">
      <c r="K75" s="20"/>
      <c r="U75" s="147"/>
      <c r="V75" s="147"/>
      <c r="W75" s="147"/>
      <c r="X75" s="147"/>
      <c r="Y75" s="147"/>
      <c r="Z75" s="147"/>
      <c r="AA75" s="147"/>
      <c r="AB75" s="147"/>
    </row>
    <row r="76" spans="1:28" s="19" customFormat="1" ht="15.5">
      <c r="K76" s="20"/>
      <c r="U76" s="147"/>
      <c r="V76" s="147"/>
      <c r="W76" s="147"/>
      <c r="X76" s="147"/>
      <c r="Y76" s="147"/>
      <c r="Z76" s="147"/>
      <c r="AA76" s="147"/>
      <c r="AB76" s="147"/>
    </row>
    <row r="77" spans="1:28" s="19" customFormat="1" ht="15.5">
      <c r="K77" s="20"/>
      <c r="U77" s="147"/>
      <c r="V77" s="147"/>
      <c r="W77" s="147"/>
      <c r="X77" s="147"/>
      <c r="Y77" s="147"/>
      <c r="Z77" s="147"/>
      <c r="AA77" s="147"/>
      <c r="AB77" s="147"/>
    </row>
    <row r="78" spans="1:28" s="19" customFormat="1" ht="15.5">
      <c r="K78" s="20"/>
      <c r="U78" s="147"/>
      <c r="V78" s="147"/>
      <c r="W78" s="147"/>
      <c r="X78" s="147"/>
      <c r="Y78" s="147"/>
      <c r="Z78" s="147"/>
      <c r="AA78" s="147"/>
      <c r="AB78" s="147"/>
    </row>
    <row r="79" spans="1:28" s="19" customFormat="1" ht="15.5">
      <c r="K79" s="20"/>
      <c r="U79" s="147"/>
      <c r="V79" s="147"/>
      <c r="W79" s="147"/>
      <c r="X79" s="147"/>
      <c r="Y79" s="147"/>
      <c r="Z79" s="147"/>
      <c r="AA79" s="147"/>
      <c r="AB79" s="147"/>
    </row>
    <row r="80" spans="1:28" s="19" customFormat="1" ht="15.5">
      <c r="K80" s="20"/>
      <c r="U80" s="147"/>
      <c r="V80" s="147"/>
      <c r="W80" s="147"/>
      <c r="X80" s="147"/>
      <c r="Y80" s="147"/>
      <c r="Z80" s="147"/>
      <c r="AA80" s="147"/>
      <c r="AB80" s="147"/>
    </row>
    <row r="81" spans="11:28" s="19" customFormat="1" ht="15.5">
      <c r="K81" s="20"/>
      <c r="U81" s="147"/>
      <c r="V81" s="147"/>
      <c r="W81" s="147"/>
      <c r="X81" s="147"/>
      <c r="Y81" s="147"/>
      <c r="Z81" s="147"/>
      <c r="AA81" s="147"/>
      <c r="AB81" s="147"/>
    </row>
    <row r="82" spans="11:28" s="19" customFormat="1" ht="15.5">
      <c r="K82" s="20"/>
      <c r="U82" s="147"/>
      <c r="V82" s="147"/>
      <c r="W82" s="147"/>
      <c r="X82" s="147"/>
      <c r="Y82" s="147"/>
      <c r="Z82" s="147"/>
      <c r="AA82" s="147"/>
      <c r="AB82" s="147"/>
    </row>
    <row r="83" spans="11:28" s="19" customFormat="1" ht="15.5">
      <c r="K83" s="20"/>
      <c r="U83" s="147"/>
      <c r="V83" s="147"/>
      <c r="W83" s="147"/>
      <c r="X83" s="147"/>
      <c r="Y83" s="147"/>
      <c r="Z83" s="147"/>
      <c r="AA83" s="147"/>
      <c r="AB83" s="147"/>
    </row>
    <row r="84" spans="11:28" s="19" customFormat="1" ht="15.5">
      <c r="K84" s="20"/>
      <c r="U84" s="147"/>
      <c r="V84" s="147"/>
      <c r="W84" s="147"/>
      <c r="X84" s="147"/>
      <c r="Y84" s="147"/>
      <c r="Z84" s="147"/>
      <c r="AA84" s="147"/>
      <c r="AB84" s="147"/>
    </row>
    <row r="85" spans="11:28" s="19" customFormat="1" ht="15.5">
      <c r="K85" s="20"/>
      <c r="U85" s="147"/>
      <c r="V85" s="147"/>
      <c r="W85" s="147"/>
      <c r="X85" s="147"/>
      <c r="Y85" s="147"/>
      <c r="Z85" s="147"/>
      <c r="AA85" s="147"/>
      <c r="AB85" s="147"/>
    </row>
    <row r="86" spans="11:28" s="19" customFormat="1" ht="15.5">
      <c r="K86" s="20"/>
      <c r="U86" s="147"/>
      <c r="V86" s="147"/>
      <c r="W86" s="147"/>
      <c r="X86" s="147"/>
      <c r="Y86" s="147"/>
      <c r="Z86" s="147"/>
      <c r="AA86" s="147"/>
      <c r="AB86" s="147"/>
    </row>
    <row r="87" spans="11:28" s="19" customFormat="1" ht="15.5">
      <c r="K87" s="20"/>
      <c r="U87" s="147"/>
      <c r="V87" s="147"/>
      <c r="W87" s="147"/>
      <c r="X87" s="147"/>
      <c r="Y87" s="147"/>
      <c r="Z87" s="147"/>
      <c r="AA87" s="147"/>
      <c r="AB87" s="147"/>
    </row>
    <row r="88" spans="11:28" s="19" customFormat="1" ht="15.5">
      <c r="K88" s="20"/>
      <c r="U88" s="147"/>
      <c r="V88" s="147"/>
      <c r="W88" s="147"/>
      <c r="X88" s="147"/>
      <c r="Y88" s="147"/>
      <c r="Z88" s="147"/>
      <c r="AA88" s="147"/>
      <c r="AB88" s="147"/>
    </row>
    <row r="89" spans="11:28" s="19" customFormat="1" ht="15.5">
      <c r="K89" s="20"/>
      <c r="U89" s="147"/>
      <c r="V89" s="147"/>
      <c r="W89" s="147"/>
      <c r="X89" s="147"/>
      <c r="Y89" s="147"/>
      <c r="Z89" s="147"/>
      <c r="AA89" s="147"/>
      <c r="AB89" s="147"/>
    </row>
    <row r="90" spans="11:28" s="19" customFormat="1" ht="15.5">
      <c r="K90" s="20"/>
      <c r="U90" s="147"/>
      <c r="V90" s="147"/>
      <c r="W90" s="147"/>
      <c r="X90" s="147"/>
      <c r="Y90" s="147"/>
      <c r="Z90" s="147"/>
      <c r="AA90" s="147"/>
      <c r="AB90" s="147"/>
    </row>
    <row r="91" spans="11:28" s="19" customFormat="1" ht="15.5">
      <c r="K91" s="20"/>
      <c r="U91" s="147"/>
      <c r="V91" s="147"/>
      <c r="W91" s="147"/>
      <c r="X91" s="147"/>
      <c r="Y91" s="147"/>
      <c r="Z91" s="147"/>
      <c r="AA91" s="147"/>
      <c r="AB91" s="147"/>
    </row>
    <row r="92" spans="11:28" s="19" customFormat="1" ht="15.5">
      <c r="K92" s="20"/>
      <c r="U92" s="147"/>
      <c r="V92" s="147"/>
      <c r="W92" s="147"/>
      <c r="X92" s="147"/>
      <c r="Y92" s="147"/>
      <c r="Z92" s="147"/>
      <c r="AA92" s="147"/>
      <c r="AB92" s="147"/>
    </row>
  </sheetData>
  <mergeCells count="29">
    <mergeCell ref="J12:J13"/>
    <mergeCell ref="K12:K13"/>
    <mergeCell ref="L12:L13"/>
    <mergeCell ref="A5:T5"/>
    <mergeCell ref="R12:R13"/>
    <mergeCell ref="S12:S13"/>
    <mergeCell ref="T12:T13"/>
    <mergeCell ref="R11:T11"/>
    <mergeCell ref="C12:C13"/>
    <mergeCell ref="D12:D13"/>
    <mergeCell ref="E12:E13"/>
    <mergeCell ref="F12:F13"/>
    <mergeCell ref="G12:H12"/>
    <mergeCell ref="A7:P7"/>
    <mergeCell ref="A10:P10"/>
    <mergeCell ref="A11:A13"/>
    <mergeCell ref="O1:P1"/>
    <mergeCell ref="S1:T1"/>
    <mergeCell ref="S2:T2"/>
    <mergeCell ref="A4:T4"/>
    <mergeCell ref="A6:P6"/>
    <mergeCell ref="B11:B13"/>
    <mergeCell ref="I12:I13"/>
    <mergeCell ref="C11:E11"/>
    <mergeCell ref="F11:H11"/>
    <mergeCell ref="I11:Q11"/>
    <mergeCell ref="M12:M13"/>
    <mergeCell ref="N12:P12"/>
    <mergeCell ref="Q12:Q13"/>
  </mergeCells>
  <pageMargins left="0.78740157480314965" right="0.78740157480314965" top="0.78740157480314965" bottom="0.78740157480314965" header="0.31496062992125984" footer="0.31496062992125984"/>
  <pageSetup paperSize="9" scale="40" fitToHeight="0" orientation="landscape" verticalDpi="0" r:id="rId1"/>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4"/>
  <sheetViews>
    <sheetView workbookViewId="0">
      <pane xSplit="9" ySplit="9" topLeftCell="J10" activePane="bottomRight" state="frozen"/>
      <selection pane="topRight" activeCell="J1" sqref="J1"/>
      <selection pane="bottomLeft" activeCell="A10" sqref="A10"/>
      <selection pane="bottomRight" activeCell="E12" sqref="E12"/>
    </sheetView>
  </sheetViews>
  <sheetFormatPr defaultColWidth="9.1796875" defaultRowHeight="14"/>
  <cols>
    <col min="1" max="1" width="6.7265625" style="101" customWidth="1"/>
    <col min="2" max="2" width="18.26953125" style="101" customWidth="1"/>
    <col min="3" max="3" width="19.26953125" style="107" customWidth="1"/>
    <col min="4" max="4" width="18.453125" style="107" customWidth="1"/>
    <col min="5" max="5" width="17.81640625" style="107" customWidth="1"/>
    <col min="6" max="6" width="10.1796875" style="107" customWidth="1"/>
    <col min="7" max="7" width="15.81640625" style="107" customWidth="1"/>
    <col min="8" max="8" width="12" style="107" customWidth="1"/>
    <col min="9" max="9" width="9.1796875" style="107"/>
    <col min="10" max="10" width="15.1796875" style="107" customWidth="1"/>
    <col min="11" max="11" width="14.453125" style="107" customWidth="1"/>
    <col min="12" max="13" width="9.1796875" style="107"/>
    <col min="14" max="14" width="17.54296875" style="107" customWidth="1"/>
    <col min="15" max="15" width="18.26953125" style="107" customWidth="1"/>
    <col min="16" max="16" width="16" style="107" customWidth="1"/>
    <col min="17" max="17" width="15" style="107" customWidth="1"/>
    <col min="18" max="18" width="9.1796875" style="107" customWidth="1"/>
    <col min="19" max="19" width="15.453125" style="107" customWidth="1"/>
    <col min="20" max="20" width="9.1796875" style="107" customWidth="1"/>
    <col min="21" max="16384" width="9.1796875" style="101"/>
  </cols>
  <sheetData>
    <row r="1" spans="1:20" ht="43.5" customHeight="1">
      <c r="A1" s="526" t="s">
        <v>330</v>
      </c>
      <c r="B1" s="526"/>
      <c r="C1" s="526"/>
      <c r="D1" s="526"/>
      <c r="E1" s="526"/>
      <c r="F1" s="526"/>
      <c r="G1" s="526"/>
      <c r="H1" s="526"/>
      <c r="I1" s="526"/>
      <c r="J1" s="526"/>
      <c r="K1" s="526"/>
      <c r="L1" s="526"/>
      <c r="M1" s="526"/>
      <c r="N1" s="526"/>
      <c r="O1" s="526"/>
      <c r="P1" s="526"/>
      <c r="Q1" s="526"/>
      <c r="R1" s="526"/>
      <c r="S1" s="526"/>
      <c r="T1" s="526"/>
    </row>
    <row r="2" spans="1:20" ht="15" customHeight="1">
      <c r="A2" s="522" t="s">
        <v>562</v>
      </c>
      <c r="B2" s="522"/>
      <c r="C2" s="522"/>
      <c r="D2" s="522"/>
      <c r="E2" s="522"/>
      <c r="F2" s="522"/>
      <c r="G2" s="522"/>
      <c r="H2" s="522"/>
      <c r="I2" s="522"/>
      <c r="J2" s="522"/>
      <c r="K2" s="522"/>
      <c r="L2" s="522"/>
      <c r="M2" s="522"/>
      <c r="N2" s="522"/>
      <c r="O2" s="522"/>
      <c r="P2" s="522"/>
      <c r="Q2" s="522"/>
      <c r="R2" s="522"/>
      <c r="S2" s="522"/>
      <c r="T2" s="522"/>
    </row>
    <row r="3" spans="1:20" ht="15" customHeight="1">
      <c r="A3" s="523" t="str">
        <f>+'54 (2)'!A5:P5</f>
        <v>(Kèm theo Nghị quyết số     /NQ-HĐND ngày     tháng    năm 2025 của 
Hội đồng nhân dân huyện Ia H'Drai)</v>
      </c>
      <c r="B3" s="523"/>
      <c r="C3" s="523"/>
      <c r="D3" s="523"/>
      <c r="E3" s="523"/>
      <c r="F3" s="523"/>
      <c r="G3" s="523"/>
      <c r="H3" s="523"/>
      <c r="I3" s="523"/>
      <c r="J3" s="523"/>
      <c r="K3" s="523"/>
      <c r="L3" s="523"/>
      <c r="M3" s="523"/>
      <c r="N3" s="523"/>
      <c r="O3" s="523"/>
      <c r="P3" s="523"/>
      <c r="Q3" s="523"/>
      <c r="R3" s="523"/>
      <c r="S3" s="523"/>
      <c r="T3" s="523"/>
    </row>
    <row r="4" spans="1:20" hidden="1">
      <c r="A4" s="523" t="e">
        <f>+'54 (2)'!A6:P6</f>
        <v>#REF!</v>
      </c>
      <c r="B4" s="523"/>
      <c r="C4" s="523"/>
      <c r="D4" s="523"/>
      <c r="E4" s="523"/>
      <c r="F4" s="523"/>
      <c r="G4" s="523"/>
      <c r="H4" s="523"/>
      <c r="I4" s="523"/>
      <c r="J4" s="523"/>
      <c r="K4" s="523"/>
      <c r="L4" s="523"/>
      <c r="M4" s="523"/>
      <c r="N4" s="523"/>
      <c r="O4" s="523"/>
      <c r="P4" s="523"/>
      <c r="Q4" s="523"/>
      <c r="R4" s="102"/>
      <c r="S4" s="102"/>
      <c r="T4" s="102"/>
    </row>
    <row r="5" spans="1:20" hidden="1">
      <c r="A5" s="523" t="e">
        <f>+'54 (2)'!A7:P7</f>
        <v>#REF!</v>
      </c>
      <c r="B5" s="523"/>
      <c r="C5" s="523"/>
      <c r="D5" s="523"/>
      <c r="E5" s="523"/>
      <c r="F5" s="523"/>
      <c r="G5" s="523"/>
      <c r="H5" s="523"/>
      <c r="I5" s="523"/>
      <c r="J5" s="523"/>
      <c r="K5" s="523"/>
      <c r="L5" s="523"/>
      <c r="M5" s="523"/>
      <c r="N5" s="523"/>
      <c r="O5" s="523"/>
      <c r="P5" s="523"/>
      <c r="Q5" s="523"/>
      <c r="R5" s="102"/>
      <c r="S5" s="102"/>
      <c r="T5" s="102"/>
    </row>
    <row r="6" spans="1:20" ht="15.5">
      <c r="A6" s="102"/>
      <c r="B6" s="102"/>
      <c r="C6" s="102"/>
      <c r="D6" s="102"/>
      <c r="E6" s="102"/>
      <c r="F6" s="102"/>
      <c r="G6" s="102"/>
      <c r="H6" s="102"/>
      <c r="I6" s="102"/>
      <c r="J6" s="102"/>
      <c r="K6" s="102"/>
      <c r="L6" s="102"/>
      <c r="M6" s="102"/>
      <c r="N6" s="102"/>
      <c r="O6" s="102"/>
      <c r="P6" s="485">
        <v>13357336757</v>
      </c>
      <c r="Q6" s="102"/>
      <c r="R6" s="102"/>
      <c r="S6" s="102"/>
      <c r="T6" s="102"/>
    </row>
    <row r="7" spans="1:20">
      <c r="A7" s="527" t="s">
        <v>124</v>
      </c>
      <c r="B7" s="527"/>
      <c r="C7" s="527"/>
      <c r="D7" s="527"/>
      <c r="E7" s="527"/>
      <c r="F7" s="527"/>
      <c r="G7" s="527"/>
      <c r="H7" s="527"/>
      <c r="I7" s="527"/>
      <c r="J7" s="527"/>
      <c r="K7" s="527"/>
      <c r="L7" s="527"/>
      <c r="M7" s="527"/>
      <c r="N7" s="527"/>
      <c r="O7" s="527"/>
      <c r="P7" s="527"/>
      <c r="Q7" s="527"/>
      <c r="R7" s="527"/>
      <c r="S7" s="527"/>
      <c r="T7" s="527"/>
    </row>
    <row r="8" spans="1:20" s="103" customFormat="1">
      <c r="A8" s="528" t="s">
        <v>7</v>
      </c>
      <c r="B8" s="528" t="s">
        <v>320</v>
      </c>
      <c r="C8" s="520" t="s">
        <v>372</v>
      </c>
      <c r="D8" s="520" t="s">
        <v>29</v>
      </c>
      <c r="E8" s="520" t="s">
        <v>52</v>
      </c>
      <c r="F8" s="520" t="s">
        <v>53</v>
      </c>
      <c r="G8" s="520" t="s">
        <v>376</v>
      </c>
      <c r="H8" s="520" t="s">
        <v>90</v>
      </c>
      <c r="I8" s="520" t="s">
        <v>321</v>
      </c>
      <c r="J8" s="520" t="s">
        <v>322</v>
      </c>
      <c r="K8" s="520" t="s">
        <v>92</v>
      </c>
      <c r="L8" s="520" t="s">
        <v>323</v>
      </c>
      <c r="M8" s="520" t="s">
        <v>93</v>
      </c>
      <c r="N8" s="520" t="s">
        <v>324</v>
      </c>
      <c r="O8" s="520" t="s">
        <v>23</v>
      </c>
      <c r="P8" s="520"/>
      <c r="Q8" s="520" t="s">
        <v>325</v>
      </c>
      <c r="R8" s="520" t="s">
        <v>326</v>
      </c>
      <c r="S8" s="520" t="s">
        <v>327</v>
      </c>
      <c r="T8" s="524" t="s">
        <v>301</v>
      </c>
    </row>
    <row r="9" spans="1:20" s="103" customFormat="1" ht="42">
      <c r="A9" s="529"/>
      <c r="B9" s="529"/>
      <c r="C9" s="521"/>
      <c r="D9" s="521"/>
      <c r="E9" s="521"/>
      <c r="F9" s="521"/>
      <c r="G9" s="521"/>
      <c r="H9" s="521"/>
      <c r="I9" s="521"/>
      <c r="J9" s="521"/>
      <c r="K9" s="521"/>
      <c r="L9" s="521"/>
      <c r="M9" s="521"/>
      <c r="N9" s="521"/>
      <c r="O9" s="174" t="s">
        <v>353</v>
      </c>
      <c r="P9" s="174" t="s">
        <v>328</v>
      </c>
      <c r="Q9" s="521"/>
      <c r="R9" s="521"/>
      <c r="S9" s="521"/>
      <c r="T9" s="525"/>
    </row>
    <row r="10" spans="1:20">
      <c r="A10" s="175" t="s">
        <v>10</v>
      </c>
      <c r="B10" s="175" t="s">
        <v>11</v>
      </c>
      <c r="C10" s="176">
        <v>1</v>
      </c>
      <c r="D10" s="176">
        <v>2</v>
      </c>
      <c r="E10" s="176">
        <v>3</v>
      </c>
      <c r="F10" s="176">
        <v>4</v>
      </c>
      <c r="G10" s="176">
        <v>5</v>
      </c>
      <c r="H10" s="176">
        <v>6</v>
      </c>
      <c r="I10" s="176">
        <v>7</v>
      </c>
      <c r="J10" s="176">
        <v>8</v>
      </c>
      <c r="K10" s="176">
        <v>9</v>
      </c>
      <c r="L10" s="176">
        <v>10</v>
      </c>
      <c r="M10" s="176">
        <v>11</v>
      </c>
      <c r="N10" s="176">
        <v>12</v>
      </c>
      <c r="O10" s="176">
        <v>13</v>
      </c>
      <c r="P10" s="176">
        <v>14</v>
      </c>
      <c r="Q10" s="176">
        <v>15</v>
      </c>
      <c r="R10" s="176">
        <v>16</v>
      </c>
      <c r="S10" s="176">
        <v>17</v>
      </c>
      <c r="T10" s="176" t="s">
        <v>96</v>
      </c>
    </row>
    <row r="11" spans="1:20">
      <c r="A11" s="104"/>
      <c r="B11" s="105" t="s">
        <v>329</v>
      </c>
      <c r="C11" s="110">
        <f>SUM(C12:C17)</f>
        <v>107243700000</v>
      </c>
      <c r="D11" s="110">
        <f>SUM(D12:D17)</f>
        <v>161147434261</v>
      </c>
      <c r="E11" s="110">
        <f t="shared" ref="E11:T11" si="0">SUM(E12:E17)</f>
        <v>49977837123</v>
      </c>
      <c r="F11" s="110">
        <f t="shared" si="0"/>
        <v>0</v>
      </c>
      <c r="G11" s="110">
        <f t="shared" si="0"/>
        <v>8107237841</v>
      </c>
      <c r="H11" s="110">
        <f t="shared" si="0"/>
        <v>0</v>
      </c>
      <c r="I11" s="110">
        <f t="shared" si="0"/>
        <v>0</v>
      </c>
      <c r="J11" s="110">
        <f t="shared" si="0"/>
        <v>0</v>
      </c>
      <c r="K11" s="110">
        <f t="shared" si="0"/>
        <v>0</v>
      </c>
      <c r="L11" s="110">
        <f t="shared" si="0"/>
        <v>0</v>
      </c>
      <c r="M11" s="110">
        <f t="shared" si="0"/>
        <v>0</v>
      </c>
      <c r="N11" s="110">
        <f>SUM(N12:N17)</f>
        <v>99946851215</v>
      </c>
      <c r="O11" s="110">
        <f t="shared" si="0"/>
        <v>69470041930</v>
      </c>
      <c r="P11" s="110">
        <f t="shared" si="0"/>
        <v>3564039686</v>
      </c>
      <c r="Q11" s="110">
        <f t="shared" si="0"/>
        <v>3115508082</v>
      </c>
      <c r="R11" s="110">
        <f t="shared" si="0"/>
        <v>0</v>
      </c>
      <c r="S11" s="110">
        <f t="shared" si="0"/>
        <v>0</v>
      </c>
      <c r="T11" s="110">
        <f t="shared" si="0"/>
        <v>90.015671979165859</v>
      </c>
    </row>
    <row r="12" spans="1:20" s="103" customFormat="1" ht="28">
      <c r="A12" s="121">
        <v>1</v>
      </c>
      <c r="B12" s="122" t="s">
        <v>331</v>
      </c>
      <c r="C12" s="123">
        <f>+'54 (2)'!D30+'54 (2)'!G30</f>
        <v>89775700000</v>
      </c>
      <c r="D12" s="123">
        <f>SUM(E12:N12)+Q12+R12+S12</f>
        <v>141859782675</v>
      </c>
      <c r="E12" s="123">
        <v>49977837123</v>
      </c>
      <c r="F12" s="123"/>
      <c r="G12" s="123">
        <v>7954237841</v>
      </c>
      <c r="H12" s="123"/>
      <c r="I12" s="123"/>
      <c r="J12" s="123"/>
      <c r="K12" s="123"/>
      <c r="L12" s="123"/>
      <c r="M12" s="123"/>
      <c r="N12" s="123">
        <f>+O12+P12+26878977599</f>
        <v>80812199629</v>
      </c>
      <c r="O12" s="123">
        <v>53933222030</v>
      </c>
      <c r="P12" s="123"/>
      <c r="Q12" s="123">
        <v>3115508082</v>
      </c>
      <c r="R12" s="123"/>
      <c r="S12" s="123"/>
      <c r="T12" s="123">
        <f>+N12/C12%</f>
        <v>90.015671979165859</v>
      </c>
    </row>
    <row r="13" spans="1:20" s="103" customFormat="1" ht="28">
      <c r="A13" s="121">
        <v>2</v>
      </c>
      <c r="B13" s="122" t="s">
        <v>534</v>
      </c>
      <c r="C13" s="123">
        <f>+'54 (2)'!G20</f>
        <v>0</v>
      </c>
      <c r="D13" s="123">
        <f>SUM(E13:N13)+Q13+R13</f>
        <v>33792000</v>
      </c>
      <c r="E13" s="123"/>
      <c r="F13" s="123"/>
      <c r="G13" s="123"/>
      <c r="H13" s="123"/>
      <c r="I13" s="123"/>
      <c r="J13" s="123"/>
      <c r="K13" s="123"/>
      <c r="L13" s="123"/>
      <c r="M13" s="123"/>
      <c r="N13" s="177">
        <v>33792000</v>
      </c>
      <c r="O13" s="177"/>
      <c r="P13" s="123"/>
      <c r="Q13" s="123"/>
      <c r="R13" s="123"/>
      <c r="S13" s="123"/>
      <c r="T13" s="123"/>
    </row>
    <row r="14" spans="1:20" s="103" customFormat="1" ht="42" hidden="1">
      <c r="A14" s="121">
        <v>3</v>
      </c>
      <c r="B14" s="122" t="s">
        <v>355</v>
      </c>
      <c r="C14" s="123">
        <f>+'54 (2)'!D32+'54 (2)'!G32</f>
        <v>0</v>
      </c>
      <c r="D14" s="123">
        <f>SUM(E14:N14)+Q14+R14</f>
        <v>0</v>
      </c>
      <c r="E14" s="123"/>
      <c r="F14" s="123"/>
      <c r="G14" s="123"/>
      <c r="H14" s="123"/>
      <c r="I14" s="123"/>
      <c r="J14" s="123"/>
      <c r="K14" s="123"/>
      <c r="L14" s="123"/>
      <c r="M14" s="123"/>
      <c r="N14" s="123">
        <f>+O14+P14</f>
        <v>0</v>
      </c>
      <c r="O14" s="177"/>
      <c r="P14" s="123"/>
      <c r="Q14" s="123"/>
      <c r="R14" s="123"/>
      <c r="S14" s="123"/>
      <c r="T14" s="123"/>
    </row>
    <row r="15" spans="1:20" ht="15.5">
      <c r="A15" s="106">
        <v>3</v>
      </c>
      <c r="B15" s="108" t="s">
        <v>116</v>
      </c>
      <c r="C15" s="109">
        <f>+'54 (2)'!D49+'54 (2)'!G49</f>
        <v>4021000000</v>
      </c>
      <c r="D15" s="109">
        <f>SUM(E15:N15)+Q15+R15</f>
        <v>4049684046</v>
      </c>
      <c r="E15" s="109"/>
      <c r="F15" s="109"/>
      <c r="G15" s="109">
        <v>72000000</v>
      </c>
      <c r="H15" s="109"/>
      <c r="I15" s="109"/>
      <c r="J15" s="109"/>
      <c r="K15" s="109"/>
      <c r="L15" s="109"/>
      <c r="M15" s="109"/>
      <c r="N15" s="109">
        <f>SUM(O15:P15)</f>
        <v>3977684046</v>
      </c>
      <c r="O15" s="177">
        <v>3099000000</v>
      </c>
      <c r="P15" s="109">
        <v>878684046</v>
      </c>
      <c r="Q15" s="109"/>
      <c r="R15" s="109"/>
      <c r="S15" s="109"/>
      <c r="T15" s="109"/>
    </row>
    <row r="16" spans="1:20">
      <c r="A16" s="106">
        <v>4</v>
      </c>
      <c r="B16" s="108" t="s">
        <v>117</v>
      </c>
      <c r="C16" s="109">
        <f>+'54 (2)'!G50</f>
        <v>4935000000</v>
      </c>
      <c r="D16" s="109">
        <f>SUM(E16:N16)+Q16+R16</f>
        <v>6387126890</v>
      </c>
      <c r="E16" s="109"/>
      <c r="F16" s="109"/>
      <c r="G16" s="109"/>
      <c r="H16" s="109"/>
      <c r="I16" s="109"/>
      <c r="J16" s="109"/>
      <c r="K16" s="109"/>
      <c r="L16" s="109"/>
      <c r="M16" s="109"/>
      <c r="N16" s="109">
        <f>SUM(O16:P16)</f>
        <v>6387126890</v>
      </c>
      <c r="O16" s="109">
        <v>5826464900</v>
      </c>
      <c r="P16" s="109">
        <f>310661990+250000000</f>
        <v>560661990</v>
      </c>
      <c r="Q16" s="109"/>
      <c r="R16" s="109"/>
      <c r="S16" s="109"/>
      <c r="T16" s="109"/>
    </row>
    <row r="17" spans="1:20" s="173" customFormat="1">
      <c r="A17" s="178">
        <v>5</v>
      </c>
      <c r="B17" s="179" t="s">
        <v>118</v>
      </c>
      <c r="C17" s="180">
        <f>+'54 (2)'!F51</f>
        <v>8512000000</v>
      </c>
      <c r="D17" s="180">
        <f>SUM(E17:N17)+Q17+R17</f>
        <v>8817048650</v>
      </c>
      <c r="E17" s="180"/>
      <c r="F17" s="180"/>
      <c r="G17" s="180">
        <v>81000000</v>
      </c>
      <c r="H17" s="180"/>
      <c r="I17" s="180"/>
      <c r="J17" s="180"/>
      <c r="K17" s="180"/>
      <c r="L17" s="180"/>
      <c r="M17" s="180"/>
      <c r="N17" s="180">
        <f>SUM(O17:P17)</f>
        <v>8736048650</v>
      </c>
      <c r="O17" s="180">
        <f>57405000+6553950000</f>
        <v>6611355000</v>
      </c>
      <c r="P17" s="180">
        <f>1884993650+239700000</f>
        <v>2124693650</v>
      </c>
      <c r="Q17" s="180"/>
      <c r="R17" s="180"/>
      <c r="S17" s="180"/>
      <c r="T17" s="180"/>
    </row>
    <row r="18" spans="1:20">
      <c r="A18" s="181"/>
      <c r="B18" s="182"/>
      <c r="C18" s="183"/>
      <c r="D18" s="183"/>
      <c r="E18" s="183"/>
      <c r="F18" s="183"/>
      <c r="G18" s="183"/>
      <c r="H18" s="183"/>
      <c r="I18" s="183"/>
      <c r="J18" s="183"/>
      <c r="K18" s="183"/>
      <c r="L18" s="183"/>
      <c r="M18" s="183"/>
      <c r="N18" s="183">
        <f>SUM(O18:P18)</f>
        <v>0</v>
      </c>
      <c r="O18" s="183"/>
      <c r="P18" s="183"/>
      <c r="Q18" s="183"/>
      <c r="R18" s="183"/>
      <c r="S18" s="183"/>
      <c r="T18" s="184"/>
    </row>
    <row r="20" spans="1:20" s="486" customFormat="1">
      <c r="C20" s="487"/>
      <c r="D20" s="487"/>
      <c r="E20" s="487"/>
      <c r="F20" s="487"/>
      <c r="G20" s="487">
        <f>+D12-'54 (2)'!O30-'54 (2)'!J30</f>
        <v>0</v>
      </c>
      <c r="H20" s="487"/>
      <c r="I20" s="487"/>
      <c r="J20" s="487"/>
      <c r="K20" s="487"/>
      <c r="L20" s="487"/>
      <c r="M20" s="487"/>
      <c r="N20" s="487"/>
      <c r="O20" s="487">
        <v>10996.838734000001</v>
      </c>
      <c r="P20" s="487"/>
      <c r="Q20" s="487"/>
      <c r="R20" s="487"/>
      <c r="S20" s="487"/>
      <c r="T20" s="487"/>
    </row>
    <row r="21" spans="1:20" s="486" customFormat="1">
      <c r="C21" s="487"/>
      <c r="D21" s="487"/>
      <c r="E21" s="487"/>
      <c r="F21" s="487"/>
      <c r="G21" s="487"/>
      <c r="H21" s="487"/>
      <c r="I21" s="487"/>
      <c r="J21" s="487"/>
      <c r="K21" s="487"/>
      <c r="L21" s="487"/>
      <c r="M21" s="487"/>
      <c r="N21" s="487"/>
      <c r="O21" s="487"/>
      <c r="P21" s="487"/>
      <c r="Q21" s="487"/>
      <c r="R21" s="487"/>
      <c r="S21" s="487"/>
      <c r="T21" s="487"/>
    </row>
    <row r="22" spans="1:20" s="486" customFormat="1">
      <c r="C22" s="487"/>
      <c r="D22" s="487"/>
      <c r="E22" s="487"/>
      <c r="F22" s="487"/>
      <c r="G22" s="487"/>
      <c r="H22" s="487"/>
      <c r="I22" s="487"/>
      <c r="J22" s="487"/>
      <c r="K22" s="487"/>
      <c r="L22" s="487"/>
      <c r="M22" s="487"/>
      <c r="N22" s="487"/>
      <c r="O22" s="487"/>
      <c r="P22" s="487"/>
      <c r="Q22" s="487"/>
      <c r="R22" s="487"/>
      <c r="S22" s="487"/>
      <c r="T22" s="487"/>
    </row>
    <row r="23" spans="1:20" s="486" customFormat="1">
      <c r="C23" s="487"/>
      <c r="D23" s="487"/>
      <c r="E23" s="487"/>
      <c r="F23" s="487"/>
      <c r="G23" s="487"/>
      <c r="H23" s="487"/>
      <c r="I23" s="487"/>
      <c r="J23" s="487"/>
      <c r="K23" s="487"/>
      <c r="L23" s="487"/>
      <c r="M23" s="487"/>
      <c r="N23" s="487"/>
      <c r="O23" s="487"/>
      <c r="P23" s="487"/>
      <c r="Q23" s="487"/>
      <c r="R23" s="487"/>
      <c r="S23" s="487"/>
      <c r="T23" s="487"/>
    </row>
    <row r="24" spans="1:20" s="486" customFormat="1">
      <c r="C24" s="487"/>
      <c r="D24" s="487"/>
      <c r="E24" s="487"/>
      <c r="F24" s="487"/>
      <c r="G24" s="487"/>
      <c r="H24" s="487"/>
      <c r="I24" s="487"/>
      <c r="J24" s="487"/>
      <c r="K24" s="487"/>
      <c r="L24" s="487"/>
      <c r="M24" s="487"/>
      <c r="N24" s="487"/>
      <c r="O24" s="487"/>
      <c r="P24" s="487"/>
      <c r="Q24" s="487"/>
      <c r="R24" s="487"/>
      <c r="S24" s="487"/>
      <c r="T24" s="487"/>
    </row>
  </sheetData>
  <mergeCells count="25">
    <mergeCell ref="A1:T1"/>
    <mergeCell ref="A7:T7"/>
    <mergeCell ref="M8:M9"/>
    <mergeCell ref="N8:N9"/>
    <mergeCell ref="O8:P8"/>
    <mergeCell ref="A3:T3"/>
    <mergeCell ref="B8:B9"/>
    <mergeCell ref="Q8:Q9"/>
    <mergeCell ref="H8:H9"/>
    <mergeCell ref="E8:E9"/>
    <mergeCell ref="J8:J9"/>
    <mergeCell ref="K8:K9"/>
    <mergeCell ref="L8:L9"/>
    <mergeCell ref="I8:I9"/>
    <mergeCell ref="A8:A9"/>
    <mergeCell ref="F8:F9"/>
    <mergeCell ref="R8:R9"/>
    <mergeCell ref="S8:S9"/>
    <mergeCell ref="G8:G9"/>
    <mergeCell ref="A2:T2"/>
    <mergeCell ref="D8:D9"/>
    <mergeCell ref="A4:Q4"/>
    <mergeCell ref="A5:Q5"/>
    <mergeCell ref="T8:T9"/>
    <mergeCell ref="C8:C9"/>
  </mergeCells>
  <pageMargins left="0.23622047244094491" right="0.23622047244094491"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9"/>
  <sheetViews>
    <sheetView workbookViewId="0">
      <selection sqref="A1:A2"/>
    </sheetView>
  </sheetViews>
  <sheetFormatPr defaultColWidth="9.1796875" defaultRowHeight="16.5"/>
  <cols>
    <col min="1" max="1" width="5.26953125" style="22" customWidth="1"/>
    <col min="2" max="2" width="32.453125" style="22" customWidth="1"/>
    <col min="3" max="3" width="18" style="22" customWidth="1"/>
    <col min="4" max="5" width="17.81640625" style="22" customWidth="1"/>
    <col min="6" max="6" width="16.453125" style="22" customWidth="1"/>
    <col min="7" max="7" width="15.81640625" style="22" customWidth="1"/>
    <col min="8" max="9" width="16.81640625" style="22" customWidth="1"/>
    <col min="10" max="10" width="16" style="22" customWidth="1"/>
    <col min="11" max="13" width="16.54296875" style="22" customWidth="1"/>
    <col min="14" max="14" width="17" style="22" customWidth="1"/>
    <col min="15" max="15" width="19.453125" style="22" customWidth="1"/>
    <col min="16" max="16" width="17.26953125" style="22" customWidth="1"/>
    <col min="17" max="17" width="8.7265625" style="22" customWidth="1"/>
    <col min="18" max="18" width="28.7265625" style="22" hidden="1" customWidth="1"/>
    <col min="19" max="19" width="17" style="143" customWidth="1"/>
    <col min="20" max="30" width="9.1796875" style="143"/>
    <col min="31" max="16384" width="9.1796875" style="22"/>
  </cols>
  <sheetData>
    <row r="1" spans="1:30" s="13" customFormat="1">
      <c r="E1" s="15"/>
      <c r="M1" s="531" t="s">
        <v>97</v>
      </c>
      <c r="N1" s="531"/>
      <c r="O1" s="531"/>
      <c r="P1" s="531"/>
      <c r="Q1" s="531"/>
      <c r="S1" s="489"/>
      <c r="T1" s="489"/>
      <c r="U1" s="489"/>
      <c r="V1" s="489"/>
      <c r="W1" s="489"/>
      <c r="X1" s="489"/>
      <c r="Y1" s="489"/>
      <c r="Z1" s="489"/>
      <c r="AA1" s="489"/>
      <c r="AB1" s="489"/>
      <c r="AC1" s="489"/>
      <c r="AD1" s="489"/>
    </row>
    <row r="2" spans="1:30" s="13" customFormat="1">
      <c r="M2" s="532"/>
      <c r="N2" s="532"/>
      <c r="O2" s="532"/>
      <c r="P2" s="532"/>
      <c r="Q2" s="532"/>
      <c r="S2" s="489"/>
      <c r="T2" s="489"/>
      <c r="U2" s="489"/>
      <c r="V2" s="489"/>
      <c r="W2" s="489"/>
      <c r="X2" s="489"/>
      <c r="Y2" s="489"/>
      <c r="Z2" s="489"/>
      <c r="AA2" s="489"/>
      <c r="AB2" s="489"/>
      <c r="AC2" s="489"/>
      <c r="AD2" s="489"/>
    </row>
    <row r="3" spans="1:30" s="13" customFormat="1">
      <c r="S3" s="489"/>
      <c r="T3" s="489"/>
      <c r="U3" s="489"/>
      <c r="V3" s="489"/>
      <c r="W3" s="489"/>
      <c r="X3" s="489"/>
      <c r="Y3" s="489"/>
      <c r="Z3" s="489"/>
      <c r="AA3" s="489"/>
      <c r="AB3" s="489"/>
      <c r="AC3" s="489"/>
      <c r="AD3" s="489"/>
    </row>
    <row r="4" spans="1:30">
      <c r="A4" s="534" t="s">
        <v>578</v>
      </c>
      <c r="B4" s="534"/>
      <c r="C4" s="534"/>
      <c r="D4" s="534"/>
      <c r="E4" s="534"/>
      <c r="F4" s="534"/>
      <c r="G4" s="534"/>
      <c r="H4" s="534"/>
      <c r="I4" s="534"/>
      <c r="J4" s="534"/>
      <c r="K4" s="534"/>
      <c r="L4" s="534"/>
      <c r="M4" s="534"/>
      <c r="N4" s="534"/>
      <c r="O4" s="534"/>
      <c r="P4" s="534"/>
      <c r="Q4" s="534"/>
    </row>
    <row r="5" spans="1:30" ht="18" customHeight="1">
      <c r="A5" s="530" t="str">
        <f>+'55'!A3:Q3</f>
        <v>(Kèm theo Nghị quyết số     /NQ-HĐND ngày     tháng    năm 2025 của 
Hội đồng nhân dân huyện Ia H'Drai)</v>
      </c>
      <c r="B5" s="530"/>
      <c r="C5" s="530"/>
      <c r="D5" s="530"/>
      <c r="E5" s="530"/>
      <c r="F5" s="530"/>
      <c r="G5" s="530"/>
      <c r="H5" s="530"/>
      <c r="I5" s="530"/>
      <c r="J5" s="530"/>
      <c r="K5" s="530"/>
      <c r="L5" s="530"/>
      <c r="M5" s="530"/>
      <c r="N5" s="530"/>
      <c r="O5" s="530"/>
      <c r="P5" s="530"/>
    </row>
    <row r="6" spans="1:30" ht="12.75" hidden="1" customHeight="1">
      <c r="A6" s="530" t="e">
        <f>+'55'!A4:Q4</f>
        <v>#REF!</v>
      </c>
      <c r="B6" s="530"/>
      <c r="C6" s="530"/>
      <c r="D6" s="530"/>
      <c r="E6" s="530"/>
      <c r="F6" s="530"/>
      <c r="G6" s="530"/>
      <c r="H6" s="530"/>
      <c r="I6" s="530"/>
      <c r="J6" s="530"/>
      <c r="K6" s="530"/>
      <c r="L6" s="530"/>
      <c r="M6" s="530"/>
      <c r="N6" s="530"/>
      <c r="O6" s="530"/>
      <c r="P6" s="530"/>
    </row>
    <row r="7" spans="1:30" ht="21" hidden="1" customHeight="1">
      <c r="A7" s="530" t="e">
        <f>+'55'!A5:Q5</f>
        <v>#REF!</v>
      </c>
      <c r="B7" s="530"/>
      <c r="C7" s="530"/>
      <c r="D7" s="530"/>
      <c r="E7" s="530"/>
      <c r="F7" s="530"/>
      <c r="G7" s="530"/>
      <c r="H7" s="530"/>
      <c r="I7" s="530"/>
      <c r="J7" s="530"/>
      <c r="K7" s="530"/>
      <c r="L7" s="530"/>
      <c r="M7" s="530"/>
      <c r="N7" s="530"/>
      <c r="O7" s="530"/>
      <c r="P7" s="530"/>
    </row>
    <row r="8" spans="1:30" ht="12.75" customHeight="1">
      <c r="A8" s="488"/>
      <c r="B8" s="488"/>
      <c r="C8" s="488"/>
      <c r="D8" s="488"/>
      <c r="E8" s="488"/>
      <c r="F8" s="488"/>
      <c r="G8" s="488"/>
      <c r="H8" s="488"/>
      <c r="I8" s="488"/>
      <c r="J8" s="488"/>
      <c r="K8" s="488"/>
      <c r="L8" s="488"/>
      <c r="M8" s="488"/>
      <c r="N8" s="488"/>
      <c r="O8" s="488"/>
      <c r="P8" s="488"/>
    </row>
    <row r="9" spans="1:30">
      <c r="A9" s="535" t="s">
        <v>122</v>
      </c>
      <c r="B9" s="535"/>
      <c r="C9" s="535"/>
      <c r="D9" s="535"/>
      <c r="E9" s="535"/>
      <c r="F9" s="535"/>
      <c r="G9" s="535"/>
      <c r="H9" s="535"/>
      <c r="I9" s="535"/>
      <c r="J9" s="535"/>
      <c r="K9" s="535"/>
      <c r="L9" s="535"/>
      <c r="M9" s="535"/>
      <c r="N9" s="535"/>
      <c r="O9" s="535"/>
      <c r="P9" s="535"/>
    </row>
    <row r="10" spans="1:30" s="23" customFormat="1" ht="15" customHeight="1">
      <c r="A10" s="515" t="s">
        <v>7</v>
      </c>
      <c r="B10" s="515" t="s">
        <v>67</v>
      </c>
      <c r="C10" s="515" t="s">
        <v>347</v>
      </c>
      <c r="D10" s="515" t="s">
        <v>29</v>
      </c>
      <c r="E10" s="515" t="s">
        <v>88</v>
      </c>
      <c r="F10" s="515" t="s">
        <v>89</v>
      </c>
      <c r="G10" s="515" t="s">
        <v>90</v>
      </c>
      <c r="H10" s="515" t="s">
        <v>91</v>
      </c>
      <c r="I10" s="515" t="s">
        <v>105</v>
      </c>
      <c r="J10" s="515" t="s">
        <v>92</v>
      </c>
      <c r="K10" s="515" t="s">
        <v>93</v>
      </c>
      <c r="L10" s="515" t="s">
        <v>5</v>
      </c>
      <c r="M10" s="515" t="s">
        <v>94</v>
      </c>
      <c r="N10" s="515" t="s">
        <v>123</v>
      </c>
      <c r="O10" s="515" t="s">
        <v>26</v>
      </c>
      <c r="P10" s="515" t="s">
        <v>95</v>
      </c>
      <c r="Q10" s="515" t="s">
        <v>66</v>
      </c>
      <c r="S10" s="490"/>
      <c r="T10" s="490"/>
      <c r="U10" s="490"/>
      <c r="V10" s="490"/>
      <c r="W10" s="490"/>
      <c r="X10" s="490"/>
      <c r="Y10" s="490"/>
      <c r="Z10" s="490"/>
      <c r="AA10" s="490"/>
      <c r="AB10" s="490"/>
      <c r="AC10" s="490"/>
      <c r="AD10" s="490"/>
    </row>
    <row r="11" spans="1:30" s="23" customFormat="1" ht="117.75" customHeight="1">
      <c r="A11" s="515"/>
      <c r="B11" s="515"/>
      <c r="C11" s="515"/>
      <c r="D11" s="515"/>
      <c r="E11" s="515"/>
      <c r="F11" s="515"/>
      <c r="G11" s="515"/>
      <c r="H11" s="515"/>
      <c r="I11" s="515"/>
      <c r="J11" s="515"/>
      <c r="K11" s="515"/>
      <c r="L11" s="515"/>
      <c r="M11" s="515"/>
      <c r="N11" s="515"/>
      <c r="O11" s="515"/>
      <c r="P11" s="515"/>
      <c r="Q11" s="515"/>
      <c r="S11" s="490"/>
      <c r="T11" s="490"/>
      <c r="U11" s="490"/>
      <c r="V11" s="490"/>
      <c r="W11" s="490"/>
      <c r="X11" s="490"/>
      <c r="Y11" s="490"/>
      <c r="Z11" s="490"/>
      <c r="AA11" s="490"/>
      <c r="AB11" s="490"/>
      <c r="AC11" s="490"/>
      <c r="AD11" s="490"/>
    </row>
    <row r="12" spans="1:30" s="23" customFormat="1" ht="14">
      <c r="A12" s="472" t="s">
        <v>10</v>
      </c>
      <c r="B12" s="472" t="s">
        <v>11</v>
      </c>
      <c r="C12" s="472">
        <v>1</v>
      </c>
      <c r="D12" s="472">
        <v>2</v>
      </c>
      <c r="E12" s="472">
        <v>3</v>
      </c>
      <c r="F12" s="472">
        <v>5</v>
      </c>
      <c r="G12" s="472">
        <v>6</v>
      </c>
      <c r="H12" s="472">
        <v>8</v>
      </c>
      <c r="I12" s="472">
        <v>8</v>
      </c>
      <c r="J12" s="472">
        <v>9</v>
      </c>
      <c r="K12" s="472">
        <v>11</v>
      </c>
      <c r="L12" s="472"/>
      <c r="M12" s="472">
        <v>12</v>
      </c>
      <c r="N12" s="472"/>
      <c r="O12" s="472">
        <v>15</v>
      </c>
      <c r="P12" s="472">
        <v>15</v>
      </c>
      <c r="Q12" s="157" t="s">
        <v>96</v>
      </c>
      <c r="S12" s="490"/>
      <c r="T12" s="490"/>
      <c r="U12" s="490"/>
      <c r="V12" s="490"/>
      <c r="W12" s="490"/>
      <c r="X12" s="490"/>
      <c r="Y12" s="490"/>
      <c r="Z12" s="490"/>
      <c r="AA12" s="490"/>
      <c r="AB12" s="490"/>
      <c r="AC12" s="490"/>
      <c r="AD12" s="490"/>
    </row>
    <row r="13" spans="1:30" s="23" customFormat="1" ht="14">
      <c r="A13" s="403"/>
      <c r="B13" s="403" t="s">
        <v>75</v>
      </c>
      <c r="C13" s="158">
        <f>SUM(C14:C57)</f>
        <v>122962648000</v>
      </c>
      <c r="D13" s="158">
        <f>SUM(D14:D57)</f>
        <v>121208744080</v>
      </c>
      <c r="E13" s="158">
        <f>SUM(E14:E57)</f>
        <v>68884862040</v>
      </c>
      <c r="F13" s="158">
        <f t="shared" ref="F13:O13" si="0">SUM(F14:F57)</f>
        <v>3518382000</v>
      </c>
      <c r="G13" s="158">
        <f t="shared" si="0"/>
        <v>1719424000</v>
      </c>
      <c r="H13" s="158">
        <f t="shared" si="0"/>
        <v>2133969560</v>
      </c>
      <c r="I13" s="158">
        <f t="shared" si="0"/>
        <v>738844334</v>
      </c>
      <c r="J13" s="158">
        <f t="shared" si="0"/>
        <v>196650000</v>
      </c>
      <c r="K13" s="158">
        <f>SUM(K14:K57)</f>
        <v>2390074066</v>
      </c>
      <c r="L13" s="158">
        <f t="shared" si="0"/>
        <v>2877124760</v>
      </c>
      <c r="M13" s="158">
        <f>SUM(M14:M57)</f>
        <v>4787028133</v>
      </c>
      <c r="N13" s="158">
        <f t="shared" si="0"/>
        <v>122660000</v>
      </c>
      <c r="O13" s="158">
        <f t="shared" si="0"/>
        <v>284782631</v>
      </c>
      <c r="P13" s="158">
        <f>SUM(P14:P57)</f>
        <v>33554942556</v>
      </c>
      <c r="Q13" s="153">
        <f>(D13/C13)*100</f>
        <v>98.573628700644122</v>
      </c>
      <c r="R13" s="38" t="e">
        <f>+#REF!-'56'!P13</f>
        <v>#REF!</v>
      </c>
      <c r="S13" s="491">
        <f>+P13-26199426355</f>
        <v>7355516201</v>
      </c>
      <c r="T13" s="490"/>
      <c r="U13" s="490"/>
      <c r="V13" s="490"/>
      <c r="W13" s="490"/>
      <c r="X13" s="490"/>
      <c r="Y13" s="490"/>
      <c r="Z13" s="490"/>
      <c r="AA13" s="490"/>
      <c r="AB13" s="490"/>
      <c r="AC13" s="490"/>
      <c r="AD13" s="490"/>
    </row>
    <row r="14" spans="1:30" s="23" customFormat="1" ht="14">
      <c r="A14" s="472">
        <v>1</v>
      </c>
      <c r="B14" s="473" t="s">
        <v>526</v>
      </c>
      <c r="C14" s="191">
        <f>+'54 (2)'!E17+'54 (2)'!H17</f>
        <v>9332081000</v>
      </c>
      <c r="D14" s="191">
        <f>SUM(E14:P14)</f>
        <v>8956945912</v>
      </c>
      <c r="E14" s="191">
        <v>111392500</v>
      </c>
      <c r="F14" s="191"/>
      <c r="G14" s="191"/>
      <c r="H14" s="191"/>
      <c r="I14" s="191"/>
      <c r="J14" s="191"/>
      <c r="K14" s="375"/>
      <c r="L14" s="191"/>
      <c r="M14" s="191"/>
      <c r="N14" s="191"/>
      <c r="O14" s="191"/>
      <c r="P14" s="191">
        <f>+'54 (2)'!K17+'54 (2)'!P17-M14-O14-0-E14</f>
        <v>8845553412</v>
      </c>
      <c r="Q14" s="153">
        <f>(D14/C14)*100</f>
        <v>95.980156108803598</v>
      </c>
      <c r="R14" s="38" t="e">
        <f>+P13-R13</f>
        <v>#REF!</v>
      </c>
      <c r="S14" s="490"/>
      <c r="T14" s="490"/>
      <c r="U14" s="490"/>
      <c r="V14" s="490"/>
      <c r="W14" s="490"/>
      <c r="X14" s="490"/>
      <c r="Y14" s="490"/>
      <c r="Z14" s="490"/>
      <c r="AA14" s="490"/>
      <c r="AB14" s="490"/>
      <c r="AC14" s="490"/>
      <c r="AD14" s="490"/>
    </row>
    <row r="15" spans="1:30" s="23" customFormat="1" ht="14">
      <c r="A15" s="472">
        <v>2</v>
      </c>
      <c r="B15" s="473" t="s">
        <v>354</v>
      </c>
      <c r="C15" s="191">
        <f>+'54 (2)'!E18+'54 (2)'!H18</f>
        <v>7079201000</v>
      </c>
      <c r="D15" s="191">
        <f t="shared" ref="D15:D57" si="1">SUM(E15:P15)</f>
        <v>4077008137</v>
      </c>
      <c r="E15" s="191"/>
      <c r="F15" s="191"/>
      <c r="G15" s="191"/>
      <c r="H15" s="191"/>
      <c r="I15" s="191"/>
      <c r="J15" s="191"/>
      <c r="K15" s="375">
        <v>2118419503</v>
      </c>
      <c r="L15" s="191"/>
      <c r="M15" s="191">
        <f>95810000+533000000</f>
        <v>628810000</v>
      </c>
      <c r="N15" s="191"/>
      <c r="O15" s="156">
        <v>284782631</v>
      </c>
      <c r="P15" s="191">
        <f>+'54 (2)'!K18+'54 (2)'!P18-M15-O15-0-K15</f>
        <v>1044996003</v>
      </c>
      <c r="Q15" s="153">
        <f t="shared" ref="Q15:Q49" si="2">(D15/C15)*100</f>
        <v>57.591360056028918</v>
      </c>
      <c r="S15" s="491">
        <f>+L13-3735599086</f>
        <v>-858474326</v>
      </c>
      <c r="T15" s="490"/>
      <c r="U15" s="490"/>
      <c r="V15" s="490"/>
      <c r="W15" s="490"/>
      <c r="X15" s="490"/>
      <c r="Y15" s="490"/>
      <c r="Z15" s="490"/>
      <c r="AA15" s="490"/>
      <c r="AB15" s="490"/>
      <c r="AC15" s="490"/>
      <c r="AD15" s="490"/>
    </row>
    <row r="16" spans="1:30" s="23" customFormat="1" ht="14">
      <c r="A16" s="472">
        <v>3</v>
      </c>
      <c r="B16" s="473" t="s">
        <v>77</v>
      </c>
      <c r="C16" s="191">
        <f>+'54 (2)'!E19+'54 (2)'!H19</f>
        <v>1447463000</v>
      </c>
      <c r="D16" s="191">
        <f t="shared" si="1"/>
        <v>1514754850</v>
      </c>
      <c r="E16" s="191"/>
      <c r="F16" s="191"/>
      <c r="G16" s="191"/>
      <c r="H16" s="191"/>
      <c r="I16" s="191"/>
      <c r="J16" s="191"/>
      <c r="K16" s="191"/>
      <c r="L16" s="191"/>
      <c r="M16" s="191"/>
      <c r="N16" s="191"/>
      <c r="O16" s="191"/>
      <c r="P16" s="191">
        <f>+'54 (2)'!K19+'54 (2)'!P19-M16-O16</f>
        <v>1514754850</v>
      </c>
      <c r="Q16" s="153">
        <f t="shared" si="2"/>
        <v>104.64895130307303</v>
      </c>
      <c r="S16" s="491">
        <f>+M13-5525133953</f>
        <v>-738105820</v>
      </c>
      <c r="T16" s="490"/>
      <c r="U16" s="490"/>
      <c r="V16" s="490"/>
      <c r="W16" s="490"/>
      <c r="X16" s="490"/>
      <c r="Y16" s="490"/>
      <c r="Z16" s="490"/>
      <c r="AA16" s="490"/>
      <c r="AB16" s="490"/>
      <c r="AC16" s="490"/>
      <c r="AD16" s="490"/>
    </row>
    <row r="17" spans="1:30" s="23" customFormat="1" ht="14">
      <c r="A17" s="472">
        <v>4</v>
      </c>
      <c r="B17" s="473" t="s">
        <v>108</v>
      </c>
      <c r="C17" s="191">
        <f>+'54 (2)'!E20+'54 (2)'!H20</f>
        <v>3245259000</v>
      </c>
      <c r="D17" s="191">
        <f t="shared" si="1"/>
        <v>3116652059</v>
      </c>
      <c r="E17" s="191">
        <f>225500000+99220830+1181122317</f>
        <v>1505843147</v>
      </c>
      <c r="F17" s="191"/>
      <c r="G17" s="191"/>
      <c r="H17" s="191"/>
      <c r="I17" s="191"/>
      <c r="J17" s="191"/>
      <c r="K17" s="191"/>
      <c r="L17" s="191"/>
      <c r="M17" s="191">
        <v>54108900</v>
      </c>
      <c r="N17" s="191"/>
      <c r="O17" s="191"/>
      <c r="P17" s="191">
        <f>+'54 (2)'!K20+'54 (2)'!P20-M17-O17-E17</f>
        <v>1556700012</v>
      </c>
      <c r="Q17" s="153">
        <f t="shared" si="2"/>
        <v>96.037082371545694</v>
      </c>
      <c r="S17" s="490"/>
      <c r="T17" s="490"/>
      <c r="U17" s="490"/>
      <c r="V17" s="490"/>
      <c r="W17" s="490"/>
      <c r="X17" s="490"/>
      <c r="Y17" s="490"/>
      <c r="Z17" s="490"/>
      <c r="AA17" s="490"/>
      <c r="AB17" s="490"/>
      <c r="AC17" s="490"/>
      <c r="AD17" s="490"/>
    </row>
    <row r="18" spans="1:30" s="23" customFormat="1" ht="28">
      <c r="A18" s="472">
        <v>5</v>
      </c>
      <c r="B18" s="473" t="s">
        <v>355</v>
      </c>
      <c r="C18" s="191">
        <f>+'54 (2)'!E21+'54 (2)'!H21</f>
        <v>5777537000</v>
      </c>
      <c r="D18" s="191">
        <f t="shared" si="1"/>
        <v>2236250908</v>
      </c>
      <c r="E18" s="156">
        <f>81375000+435105000</f>
        <v>516480000</v>
      </c>
      <c r="F18" s="191"/>
      <c r="G18" s="191"/>
      <c r="H18" s="191"/>
      <c r="I18" s="191"/>
      <c r="J18" s="191"/>
      <c r="K18" s="191"/>
      <c r="L18" s="191"/>
      <c r="M18" s="191">
        <f>27918000+74411000+130050000+92700000</f>
        <v>325079000</v>
      </c>
      <c r="N18" s="191"/>
      <c r="O18" s="191"/>
      <c r="P18" s="191">
        <f>+'54 (2)'!K21+'54 (2)'!P21-M18-O18-E18</f>
        <v>1394691908</v>
      </c>
      <c r="Q18" s="153">
        <f t="shared" si="2"/>
        <v>38.705955634728085</v>
      </c>
      <c r="S18" s="490"/>
      <c r="T18" s="490"/>
      <c r="U18" s="490"/>
      <c r="V18" s="490"/>
      <c r="W18" s="490"/>
      <c r="X18" s="490"/>
      <c r="Y18" s="490"/>
      <c r="Z18" s="490"/>
      <c r="AA18" s="490"/>
      <c r="AB18" s="490"/>
      <c r="AC18" s="490"/>
      <c r="AD18" s="490"/>
    </row>
    <row r="19" spans="1:30" s="23" customFormat="1" ht="14">
      <c r="A19" s="472">
        <v>6</v>
      </c>
      <c r="B19" s="473" t="s">
        <v>79</v>
      </c>
      <c r="C19" s="191">
        <f>+'54 (2)'!E22+'54 (2)'!H22</f>
        <v>2382073000</v>
      </c>
      <c r="D19" s="191">
        <f t="shared" si="1"/>
        <v>1849891254</v>
      </c>
      <c r="E19" s="191"/>
      <c r="F19" s="191"/>
      <c r="G19" s="191"/>
      <c r="H19" s="191"/>
      <c r="I19" s="191"/>
      <c r="J19" s="191"/>
      <c r="K19" s="191"/>
      <c r="L19" s="191">
        <v>131100000</v>
      </c>
      <c r="M19" s="191"/>
      <c r="N19" s="191"/>
      <c r="O19" s="191"/>
      <c r="P19" s="191">
        <f>+'54 (2)'!I22-L19</f>
        <v>1718791254</v>
      </c>
      <c r="Q19" s="153">
        <f t="shared" si="2"/>
        <v>77.658881738720851</v>
      </c>
      <c r="S19" s="491">
        <f>+M13-'52,.'!F38</f>
        <v>0</v>
      </c>
      <c r="T19" s="490"/>
      <c r="U19" s="490"/>
      <c r="V19" s="490"/>
      <c r="W19" s="490"/>
      <c r="X19" s="490"/>
      <c r="Y19" s="490"/>
      <c r="Z19" s="490"/>
      <c r="AA19" s="490"/>
      <c r="AB19" s="490"/>
      <c r="AC19" s="490"/>
      <c r="AD19" s="490"/>
    </row>
    <row r="20" spans="1:30" s="23" customFormat="1" ht="18" customHeight="1">
      <c r="A20" s="472">
        <v>7</v>
      </c>
      <c r="B20" s="473" t="s">
        <v>80</v>
      </c>
      <c r="C20" s="191">
        <f>+'54 (2)'!E23+'54 (2)'!H23</f>
        <v>772131000</v>
      </c>
      <c r="D20" s="191">
        <f t="shared" si="1"/>
        <v>827857140</v>
      </c>
      <c r="E20" s="191"/>
      <c r="F20" s="191"/>
      <c r="G20" s="191"/>
      <c r="H20" s="191"/>
      <c r="I20" s="191"/>
      <c r="J20" s="191"/>
      <c r="K20" s="191"/>
      <c r="L20" s="191"/>
      <c r="M20" s="191"/>
      <c r="N20" s="191"/>
      <c r="O20" s="191"/>
      <c r="P20" s="191">
        <f>+'54 (2)'!K23</f>
        <v>827857140</v>
      </c>
      <c r="Q20" s="153">
        <f t="shared" si="2"/>
        <v>107.21718723895297</v>
      </c>
      <c r="S20" s="490"/>
      <c r="T20" s="490"/>
      <c r="U20" s="490"/>
      <c r="V20" s="490"/>
      <c r="W20" s="490"/>
      <c r="X20" s="490"/>
      <c r="Y20" s="490"/>
      <c r="Z20" s="490"/>
      <c r="AA20" s="490"/>
      <c r="AB20" s="490"/>
      <c r="AC20" s="490"/>
      <c r="AD20" s="490"/>
    </row>
    <row r="21" spans="1:30" s="23" customFormat="1" ht="18" customHeight="1">
      <c r="A21" s="472">
        <v>8</v>
      </c>
      <c r="B21" s="473" t="s">
        <v>370</v>
      </c>
      <c r="C21" s="191">
        <f>+'54 (2)'!E24+'54 (2)'!H24</f>
        <v>931524000</v>
      </c>
      <c r="D21" s="191">
        <f t="shared" si="1"/>
        <v>1304134000</v>
      </c>
      <c r="E21" s="191"/>
      <c r="F21" s="191"/>
      <c r="G21" s="191"/>
      <c r="H21" s="191"/>
      <c r="I21" s="191"/>
      <c r="J21" s="191"/>
      <c r="K21" s="191"/>
      <c r="L21" s="191"/>
      <c r="M21" s="191"/>
      <c r="N21" s="191"/>
      <c r="O21" s="191"/>
      <c r="P21" s="191">
        <f>+'54 (2)'!K24+'54 (2)'!P24-M21-O21-E21</f>
        <v>1304134000</v>
      </c>
      <c r="Q21" s="153">
        <f t="shared" si="2"/>
        <v>140.00004294038587</v>
      </c>
      <c r="S21" s="491">
        <v>0</v>
      </c>
      <c r="T21" s="490"/>
      <c r="U21" s="490"/>
      <c r="V21" s="490"/>
      <c r="W21" s="490"/>
      <c r="X21" s="490"/>
      <c r="Y21" s="490"/>
      <c r="Z21" s="490"/>
      <c r="AA21" s="490"/>
      <c r="AB21" s="490"/>
      <c r="AC21" s="490"/>
      <c r="AD21" s="490"/>
    </row>
    <row r="22" spans="1:30" s="23" customFormat="1" ht="14">
      <c r="A22" s="472">
        <v>9</v>
      </c>
      <c r="B22" s="473" t="s">
        <v>81</v>
      </c>
      <c r="C22" s="191">
        <f>+'54 (2)'!E25+'54 (2)'!H25</f>
        <v>753595000</v>
      </c>
      <c r="D22" s="191">
        <f t="shared" si="1"/>
        <v>652533800</v>
      </c>
      <c r="E22" s="191"/>
      <c r="F22" s="191"/>
      <c r="G22" s="191"/>
      <c r="H22" s="191"/>
      <c r="I22" s="191"/>
      <c r="J22" s="191"/>
      <c r="K22" s="191"/>
      <c r="L22" s="191"/>
      <c r="M22" s="191"/>
      <c r="N22" s="191"/>
      <c r="O22" s="191"/>
      <c r="P22" s="191">
        <f>+'54 (2)'!K25+'54 (2)'!P25-M22-O22-E22</f>
        <v>652533800</v>
      </c>
      <c r="Q22" s="153">
        <f t="shared" si="2"/>
        <v>86.589454547867234</v>
      </c>
      <c r="S22" s="490"/>
      <c r="T22" s="490"/>
      <c r="U22" s="490"/>
      <c r="V22" s="490"/>
      <c r="W22" s="490"/>
      <c r="X22" s="490"/>
      <c r="Y22" s="490"/>
      <c r="Z22" s="490"/>
      <c r="AA22" s="490"/>
      <c r="AB22" s="490"/>
      <c r="AC22" s="490"/>
      <c r="AD22" s="490"/>
    </row>
    <row r="23" spans="1:30" s="23" customFormat="1" ht="14">
      <c r="A23" s="472">
        <v>10</v>
      </c>
      <c r="B23" s="473" t="s">
        <v>82</v>
      </c>
      <c r="C23" s="191">
        <f>+'54 (2)'!E26+'54 (2)'!H26</f>
        <v>420261000</v>
      </c>
      <c r="D23" s="191">
        <f t="shared" si="1"/>
        <v>482335300</v>
      </c>
      <c r="E23" s="191"/>
      <c r="F23" s="191"/>
      <c r="G23" s="191"/>
      <c r="H23" s="191"/>
      <c r="I23" s="191"/>
      <c r="J23" s="191"/>
      <c r="K23" s="191"/>
      <c r="L23" s="191"/>
      <c r="M23" s="191"/>
      <c r="N23" s="191"/>
      <c r="O23" s="191"/>
      <c r="P23" s="191">
        <f>+'54 (2)'!K26+'54 (2)'!P26-M23-O23-E23</f>
        <v>482335300</v>
      </c>
      <c r="Q23" s="153">
        <f t="shared" si="2"/>
        <v>114.77041647928313</v>
      </c>
      <c r="S23" s="490">
        <v>33554942556</v>
      </c>
      <c r="T23" s="490"/>
      <c r="U23" s="490"/>
      <c r="V23" s="490"/>
      <c r="W23" s="490"/>
      <c r="X23" s="490"/>
      <c r="Y23" s="490"/>
      <c r="Z23" s="490"/>
      <c r="AA23" s="490"/>
      <c r="AB23" s="490"/>
      <c r="AC23" s="490"/>
      <c r="AD23" s="490"/>
    </row>
    <row r="24" spans="1:30" s="23" customFormat="1" ht="28">
      <c r="A24" s="472">
        <v>11</v>
      </c>
      <c r="B24" s="473" t="s">
        <v>344</v>
      </c>
      <c r="C24" s="191">
        <f>+'54 (2)'!E27+'54 (2)'!H27</f>
        <v>3398641000</v>
      </c>
      <c r="D24" s="191">
        <f>SUM(E24:P24)</f>
        <v>3069463894</v>
      </c>
      <c r="E24" s="191"/>
      <c r="F24" s="191"/>
      <c r="G24" s="191"/>
      <c r="H24" s="375">
        <f>32735000+2021234560+80000000</f>
        <v>2133969560</v>
      </c>
      <c r="I24" s="191">
        <v>738844334</v>
      </c>
      <c r="J24" s="191">
        <v>196650000</v>
      </c>
      <c r="K24" s="191"/>
      <c r="L24" s="191"/>
      <c r="M24" s="191"/>
      <c r="N24" s="191"/>
      <c r="O24" s="191"/>
      <c r="P24" s="191"/>
      <c r="Q24" s="153">
        <f t="shared" si="2"/>
        <v>90.314449040072191</v>
      </c>
      <c r="S24" s="491">
        <f>+S23-P13</f>
        <v>0</v>
      </c>
      <c r="T24" s="490"/>
      <c r="U24" s="490"/>
      <c r="V24" s="490"/>
      <c r="W24" s="490"/>
      <c r="X24" s="490"/>
      <c r="Y24" s="490"/>
      <c r="Z24" s="490"/>
      <c r="AA24" s="490"/>
      <c r="AB24" s="490"/>
      <c r="AC24" s="490"/>
      <c r="AD24" s="490"/>
    </row>
    <row r="25" spans="1:30" s="23" customFormat="1" ht="14">
      <c r="A25" s="472">
        <v>12</v>
      </c>
      <c r="B25" s="473" t="s">
        <v>375</v>
      </c>
      <c r="C25" s="191">
        <f>+'54 (2)'!E28+'54 (2)'!H28</f>
        <v>463000000</v>
      </c>
      <c r="D25" s="191">
        <f t="shared" si="1"/>
        <v>712410902</v>
      </c>
      <c r="E25" s="375">
        <v>712410902</v>
      </c>
      <c r="F25" s="191"/>
      <c r="G25" s="191"/>
      <c r="H25" s="191"/>
      <c r="I25" s="191"/>
      <c r="J25" s="191"/>
      <c r="K25" s="191"/>
      <c r="L25" s="191"/>
      <c r="M25" s="191"/>
      <c r="N25" s="191"/>
      <c r="O25" s="191"/>
      <c r="P25" s="191"/>
      <c r="Q25" s="153">
        <f t="shared" si="2"/>
        <v>153.8684453563715</v>
      </c>
      <c r="S25" s="490"/>
      <c r="T25" s="490"/>
      <c r="U25" s="490"/>
      <c r="V25" s="490"/>
      <c r="W25" s="490"/>
      <c r="X25" s="490"/>
      <c r="Y25" s="490"/>
      <c r="Z25" s="490"/>
      <c r="AA25" s="490"/>
      <c r="AB25" s="490"/>
      <c r="AC25" s="490"/>
      <c r="AD25" s="490"/>
    </row>
    <row r="26" spans="1:30" s="23" customFormat="1" ht="14">
      <c r="A26" s="472">
        <v>13</v>
      </c>
      <c r="B26" s="473" t="s">
        <v>343</v>
      </c>
      <c r="C26" s="191">
        <f>+'54 (2)'!E29+'54 (2)'!H29</f>
        <v>2143772000</v>
      </c>
      <c r="D26" s="191">
        <f t="shared" si="1"/>
        <v>1694980784</v>
      </c>
      <c r="E26" s="191"/>
      <c r="F26" s="191"/>
      <c r="G26" s="191"/>
      <c r="H26" s="191"/>
      <c r="I26" s="191"/>
      <c r="J26" s="191"/>
      <c r="K26" s="191"/>
      <c r="L26" s="191"/>
      <c r="M26" s="191">
        <f>+'54 (2)'!K29</f>
        <v>1694980784</v>
      </c>
      <c r="N26" s="191"/>
      <c r="O26" s="191"/>
      <c r="P26" s="191"/>
      <c r="Q26" s="153">
        <f t="shared" si="2"/>
        <v>79.065347620922381</v>
      </c>
      <c r="S26" s="490"/>
      <c r="T26" s="490"/>
      <c r="U26" s="490"/>
      <c r="V26" s="490"/>
      <c r="W26" s="490"/>
      <c r="X26" s="490"/>
      <c r="Y26" s="490"/>
      <c r="Z26" s="490"/>
      <c r="AA26" s="490"/>
      <c r="AB26" s="490"/>
      <c r="AC26" s="490"/>
      <c r="AD26" s="490"/>
    </row>
    <row r="27" spans="1:30" s="23" customFormat="1" ht="14">
      <c r="A27" s="472">
        <v>14</v>
      </c>
      <c r="B27" s="473" t="s">
        <v>356</v>
      </c>
      <c r="C27" s="191">
        <f>+'54 (2)'!E30+'54 (2)'!H30</f>
        <v>0</v>
      </c>
      <c r="D27" s="191">
        <f t="shared" si="1"/>
        <v>51933000</v>
      </c>
      <c r="E27" s="191"/>
      <c r="F27" s="191"/>
      <c r="G27" s="191"/>
      <c r="H27" s="191"/>
      <c r="I27" s="191"/>
      <c r="J27" s="191"/>
      <c r="K27" s="191"/>
      <c r="L27" s="191"/>
      <c r="M27" s="191">
        <f>+'54 (2)'!K30</f>
        <v>51933000</v>
      </c>
      <c r="N27" s="191"/>
      <c r="O27" s="191"/>
      <c r="P27" s="191"/>
      <c r="Q27" s="153"/>
      <c r="S27" s="490"/>
      <c r="T27" s="490"/>
      <c r="U27" s="490"/>
      <c r="V27" s="490"/>
      <c r="W27" s="490"/>
      <c r="X27" s="490"/>
      <c r="Y27" s="490"/>
      <c r="Z27" s="490"/>
      <c r="AA27" s="490"/>
      <c r="AB27" s="490"/>
      <c r="AC27" s="490"/>
      <c r="AD27" s="490"/>
    </row>
    <row r="28" spans="1:30" s="23" customFormat="1" ht="14">
      <c r="A28" s="472">
        <v>15</v>
      </c>
      <c r="B28" s="473" t="s">
        <v>83</v>
      </c>
      <c r="C28" s="191">
        <f>+'54 (2)'!E31+'54 (2)'!H31</f>
        <v>2380990000</v>
      </c>
      <c r="D28" s="191">
        <f t="shared" si="1"/>
        <v>3318382000</v>
      </c>
      <c r="E28" s="191"/>
      <c r="F28" s="191">
        <v>3318382000</v>
      </c>
      <c r="G28" s="191"/>
      <c r="H28" s="191"/>
      <c r="I28" s="191"/>
      <c r="J28" s="191"/>
      <c r="K28" s="191"/>
      <c r="L28" s="191"/>
      <c r="M28" s="191"/>
      <c r="N28" s="191"/>
      <c r="O28" s="191"/>
      <c r="P28" s="191"/>
      <c r="Q28" s="153">
        <f t="shared" si="2"/>
        <v>139.36984195649708</v>
      </c>
      <c r="S28" s="490"/>
      <c r="T28" s="490"/>
      <c r="U28" s="490"/>
      <c r="V28" s="490"/>
      <c r="W28" s="490"/>
      <c r="X28" s="490"/>
      <c r="Y28" s="490"/>
      <c r="Z28" s="490"/>
      <c r="AA28" s="490"/>
      <c r="AB28" s="490"/>
      <c r="AC28" s="490"/>
      <c r="AD28" s="490"/>
    </row>
    <row r="29" spans="1:30" s="23" customFormat="1" ht="14">
      <c r="A29" s="472">
        <v>16</v>
      </c>
      <c r="B29" s="473" t="s">
        <v>84</v>
      </c>
      <c r="C29" s="191">
        <f>+'54 (2)'!E32+'54 (2)'!H32</f>
        <v>1055000000</v>
      </c>
      <c r="D29" s="191">
        <f t="shared" si="1"/>
        <v>1302810000</v>
      </c>
      <c r="E29" s="191"/>
      <c r="F29" s="191"/>
      <c r="G29" s="191">
        <v>1302810000</v>
      </c>
      <c r="H29" s="191"/>
      <c r="I29" s="191"/>
      <c r="J29" s="191"/>
      <c r="K29" s="191"/>
      <c r="L29" s="191"/>
      <c r="M29" s="191"/>
      <c r="N29" s="191"/>
      <c r="O29" s="191"/>
      <c r="P29" s="191"/>
      <c r="Q29" s="153">
        <f t="shared" si="2"/>
        <v>123.48909952606635</v>
      </c>
      <c r="S29" s="490"/>
      <c r="T29" s="490"/>
      <c r="U29" s="490"/>
      <c r="V29" s="490"/>
      <c r="W29" s="490"/>
      <c r="X29" s="490"/>
      <c r="Y29" s="490"/>
      <c r="Z29" s="490"/>
      <c r="AA29" s="490"/>
      <c r="AB29" s="490"/>
      <c r="AC29" s="490"/>
      <c r="AD29" s="490"/>
    </row>
    <row r="30" spans="1:30" s="23" customFormat="1" ht="14">
      <c r="A30" s="472">
        <v>17</v>
      </c>
      <c r="B30" s="473" t="s">
        <v>535</v>
      </c>
      <c r="C30" s="191">
        <f>+'54 (2)'!E33+'54 (2)'!H33</f>
        <v>9839637000</v>
      </c>
      <c r="D30" s="191">
        <f t="shared" si="1"/>
        <v>9063054140</v>
      </c>
      <c r="E30" s="375">
        <v>153724000</v>
      </c>
      <c r="F30" s="191"/>
      <c r="G30" s="191"/>
      <c r="H30" s="191"/>
      <c r="I30" s="191"/>
      <c r="J30" s="191"/>
      <c r="K30" s="191"/>
      <c r="L30" s="375">
        <v>106720000</v>
      </c>
      <c r="M30" s="191"/>
      <c r="N30" s="191"/>
      <c r="O30" s="191"/>
      <c r="P30" s="191">
        <f>+'54 (2)'!K33+'54 (2)'!P33-M30-O30-E30-L30</f>
        <v>8802610140</v>
      </c>
      <c r="Q30" s="153">
        <f t="shared" si="2"/>
        <v>92.107606611910583</v>
      </c>
      <c r="R30" s="23">
        <v>10803559606</v>
      </c>
      <c r="S30" s="490"/>
      <c r="T30" s="490"/>
      <c r="U30" s="490"/>
      <c r="V30" s="490"/>
      <c r="W30" s="490"/>
      <c r="X30" s="490"/>
      <c r="Y30" s="490"/>
      <c r="Z30" s="490"/>
      <c r="AA30" s="490"/>
      <c r="AB30" s="490"/>
      <c r="AC30" s="490"/>
      <c r="AD30" s="490"/>
    </row>
    <row r="31" spans="1:30" s="23" customFormat="1" ht="14">
      <c r="A31" s="472">
        <v>18</v>
      </c>
      <c r="B31" s="473" t="s">
        <v>109</v>
      </c>
      <c r="C31" s="191">
        <f>+'54 (2)'!E34+'54 (2)'!H34</f>
        <v>6082414000</v>
      </c>
      <c r="D31" s="191">
        <f t="shared" si="1"/>
        <v>5904230795</v>
      </c>
      <c r="E31" s="191">
        <f>+'54 (2)'!K34</f>
        <v>5904230795</v>
      </c>
      <c r="F31" s="191"/>
      <c r="G31" s="191"/>
      <c r="H31" s="191"/>
      <c r="I31" s="191"/>
      <c r="J31" s="191"/>
      <c r="K31" s="191"/>
      <c r="L31" s="191"/>
      <c r="M31" s="191"/>
      <c r="N31" s="191"/>
      <c r="O31" s="191"/>
      <c r="P31" s="191"/>
      <c r="Q31" s="153">
        <f t="shared" si="2"/>
        <v>97.070518300793069</v>
      </c>
      <c r="R31" s="38">
        <f>+P30-R30</f>
        <v>-2000949466</v>
      </c>
      <c r="S31" s="490"/>
      <c r="T31" s="490"/>
      <c r="U31" s="490"/>
      <c r="V31" s="490"/>
      <c r="W31" s="490"/>
      <c r="X31" s="490"/>
      <c r="Y31" s="490"/>
      <c r="Z31" s="490"/>
      <c r="AA31" s="490"/>
      <c r="AB31" s="490"/>
      <c r="AC31" s="490"/>
      <c r="AD31" s="490"/>
    </row>
    <row r="32" spans="1:30" s="23" customFormat="1" ht="14">
      <c r="A32" s="472">
        <v>19</v>
      </c>
      <c r="B32" s="473" t="s">
        <v>110</v>
      </c>
      <c r="C32" s="191">
        <f>+'54 (2)'!E35+'54 (2)'!H35</f>
        <v>4865841000</v>
      </c>
      <c r="D32" s="191">
        <f t="shared" si="1"/>
        <v>5332846614</v>
      </c>
      <c r="E32" s="191">
        <f>+'54 (2)'!K35</f>
        <v>5332846614</v>
      </c>
      <c r="F32" s="191"/>
      <c r="G32" s="191"/>
      <c r="H32" s="191"/>
      <c r="I32" s="191"/>
      <c r="J32" s="191"/>
      <c r="K32" s="191"/>
      <c r="L32" s="191"/>
      <c r="M32" s="191"/>
      <c r="N32" s="191"/>
      <c r="O32" s="191"/>
      <c r="P32" s="191"/>
      <c r="Q32" s="153">
        <f t="shared" si="2"/>
        <v>109.59763407805556</v>
      </c>
      <c r="S32" s="490"/>
      <c r="T32" s="490"/>
      <c r="U32" s="490"/>
      <c r="V32" s="490"/>
      <c r="W32" s="490"/>
      <c r="X32" s="490"/>
      <c r="Y32" s="490"/>
      <c r="Z32" s="490"/>
      <c r="AA32" s="490"/>
      <c r="AB32" s="490"/>
      <c r="AC32" s="490"/>
      <c r="AD32" s="490"/>
    </row>
    <row r="33" spans="1:30" s="23" customFormat="1" ht="14">
      <c r="A33" s="472">
        <v>20</v>
      </c>
      <c r="B33" s="473" t="s">
        <v>111</v>
      </c>
      <c r="C33" s="191">
        <f>+'54 (2)'!E36+'54 (2)'!H36</f>
        <v>6283893000</v>
      </c>
      <c r="D33" s="191">
        <f t="shared" si="1"/>
        <v>6306791448</v>
      </c>
      <c r="E33" s="191">
        <f>+'54 (2)'!K36</f>
        <v>6306791448</v>
      </c>
      <c r="F33" s="191"/>
      <c r="G33" s="191"/>
      <c r="H33" s="191"/>
      <c r="I33" s="191"/>
      <c r="J33" s="191"/>
      <c r="K33" s="191"/>
      <c r="L33" s="191"/>
      <c r="M33" s="191"/>
      <c r="N33" s="191"/>
      <c r="O33" s="191"/>
      <c r="P33" s="191"/>
      <c r="Q33" s="153">
        <f t="shared" si="2"/>
        <v>100.36439907554123</v>
      </c>
      <c r="S33" s="490"/>
      <c r="T33" s="490"/>
      <c r="U33" s="490"/>
      <c r="V33" s="490"/>
      <c r="W33" s="490"/>
      <c r="X33" s="490"/>
      <c r="Y33" s="490"/>
      <c r="Z33" s="490"/>
      <c r="AA33" s="490"/>
      <c r="AB33" s="490"/>
      <c r="AC33" s="490"/>
      <c r="AD33" s="490"/>
    </row>
    <row r="34" spans="1:30" s="23" customFormat="1" ht="14">
      <c r="A34" s="472">
        <v>21</v>
      </c>
      <c r="B34" s="473" t="s">
        <v>352</v>
      </c>
      <c r="C34" s="191">
        <f>+'54 (2)'!E37+'54 (2)'!H37</f>
        <v>10537296000</v>
      </c>
      <c r="D34" s="191">
        <f t="shared" si="1"/>
        <v>11789054926</v>
      </c>
      <c r="E34" s="191">
        <f>+'54 (2)'!K37</f>
        <v>11789054926</v>
      </c>
      <c r="F34" s="191"/>
      <c r="G34" s="191"/>
      <c r="H34" s="191"/>
      <c r="I34" s="191"/>
      <c r="J34" s="191"/>
      <c r="K34" s="191"/>
      <c r="L34" s="191"/>
      <c r="M34" s="191"/>
      <c r="N34" s="191"/>
      <c r="O34" s="191"/>
      <c r="P34" s="191"/>
      <c r="Q34" s="153">
        <f t="shared" si="2"/>
        <v>111.87931824255483</v>
      </c>
      <c r="S34" s="490"/>
      <c r="T34" s="490"/>
      <c r="U34" s="490"/>
      <c r="V34" s="490"/>
      <c r="W34" s="490"/>
      <c r="X34" s="490"/>
      <c r="Y34" s="490"/>
      <c r="Z34" s="490"/>
      <c r="AA34" s="490"/>
      <c r="AB34" s="490"/>
      <c r="AC34" s="490"/>
      <c r="AD34" s="490"/>
    </row>
    <row r="35" spans="1:30" s="23" customFormat="1" ht="14">
      <c r="A35" s="472">
        <v>22</v>
      </c>
      <c r="B35" s="473" t="s">
        <v>349</v>
      </c>
      <c r="C35" s="191">
        <f>+'54 (2)'!E38+'54 (2)'!H38</f>
        <v>15404007000</v>
      </c>
      <c r="D35" s="191">
        <f t="shared" si="1"/>
        <v>17095268357</v>
      </c>
      <c r="E35" s="191">
        <f>+'54 (2)'!K38</f>
        <v>17095268357</v>
      </c>
      <c r="F35" s="191"/>
      <c r="G35" s="191"/>
      <c r="H35" s="191"/>
      <c r="I35" s="191"/>
      <c r="J35" s="191"/>
      <c r="K35" s="191"/>
      <c r="L35" s="191"/>
      <c r="M35" s="191"/>
      <c r="N35" s="191"/>
      <c r="O35" s="191"/>
      <c r="P35" s="191"/>
      <c r="Q35" s="153">
        <f t="shared" si="2"/>
        <v>110.97935983150357</v>
      </c>
      <c r="S35" s="490"/>
      <c r="T35" s="490"/>
      <c r="U35" s="490"/>
      <c r="V35" s="490"/>
      <c r="W35" s="490"/>
      <c r="X35" s="490"/>
      <c r="Y35" s="490"/>
      <c r="Z35" s="490"/>
      <c r="AA35" s="490"/>
      <c r="AB35" s="490"/>
      <c r="AC35" s="490"/>
      <c r="AD35" s="490"/>
    </row>
    <row r="36" spans="1:30" s="23" customFormat="1" ht="14">
      <c r="A36" s="472">
        <v>23</v>
      </c>
      <c r="B36" s="473" t="s">
        <v>348</v>
      </c>
      <c r="C36" s="191">
        <f>+'54 (2)'!E39+'54 (2)'!H39</f>
        <v>17002343000</v>
      </c>
      <c r="D36" s="191">
        <f t="shared" si="1"/>
        <v>19151975067</v>
      </c>
      <c r="E36" s="191">
        <f>+'54 (2)'!K39</f>
        <v>19151975067</v>
      </c>
      <c r="F36" s="191"/>
      <c r="G36" s="191"/>
      <c r="H36" s="191"/>
      <c r="I36" s="191"/>
      <c r="J36" s="191"/>
      <c r="K36" s="191"/>
      <c r="L36" s="191"/>
      <c r="M36" s="191"/>
      <c r="N36" s="191"/>
      <c r="O36" s="191"/>
      <c r="P36" s="191"/>
      <c r="Q36" s="153">
        <f t="shared" si="2"/>
        <v>112.64315198793484</v>
      </c>
      <c r="S36" s="490"/>
      <c r="T36" s="490"/>
      <c r="U36" s="490"/>
      <c r="V36" s="490"/>
      <c r="W36" s="490"/>
      <c r="X36" s="490"/>
      <c r="Y36" s="490"/>
      <c r="Z36" s="490"/>
      <c r="AA36" s="490"/>
      <c r="AB36" s="490"/>
      <c r="AC36" s="490"/>
      <c r="AD36" s="490"/>
    </row>
    <row r="37" spans="1:30" s="23" customFormat="1" ht="14">
      <c r="A37" s="472">
        <v>24</v>
      </c>
      <c r="B37" s="473" t="s">
        <v>350</v>
      </c>
      <c r="C37" s="191">
        <f>+'54 (2)'!E40+'54 (2)'!H40</f>
        <v>4254251000</v>
      </c>
      <c r="D37" s="191">
        <f t="shared" si="1"/>
        <v>2890034922</v>
      </c>
      <c r="E37" s="375">
        <f>184134000+48219000</f>
        <v>232353000</v>
      </c>
      <c r="F37" s="191"/>
      <c r="G37" s="191"/>
      <c r="H37" s="191"/>
      <c r="I37" s="191"/>
      <c r="J37" s="191"/>
      <c r="K37" s="191"/>
      <c r="L37" s="191">
        <v>1226184760</v>
      </c>
      <c r="M37" s="191"/>
      <c r="N37" s="191"/>
      <c r="O37" s="191"/>
      <c r="P37" s="191">
        <f>+'54 (2)'!P40+'54 (2)'!K40-E37-L37</f>
        <v>1431497162</v>
      </c>
      <c r="Q37" s="153">
        <f t="shared" si="2"/>
        <v>67.932872837075195</v>
      </c>
      <c r="S37" s="490"/>
      <c r="T37" s="490"/>
      <c r="U37" s="490"/>
      <c r="V37" s="490"/>
      <c r="W37" s="490"/>
      <c r="X37" s="490"/>
      <c r="Y37" s="490"/>
      <c r="Z37" s="490"/>
      <c r="AA37" s="490"/>
      <c r="AB37" s="490"/>
      <c r="AC37" s="490"/>
      <c r="AD37" s="490"/>
    </row>
    <row r="38" spans="1:30" s="23" customFormat="1" ht="14">
      <c r="A38" s="472">
        <v>25</v>
      </c>
      <c r="B38" s="473" t="s">
        <v>351</v>
      </c>
      <c r="C38" s="191">
        <f>+'54 (2)'!E41+'54 (2)'!H41</f>
        <v>717429000</v>
      </c>
      <c r="D38" s="191">
        <f t="shared" si="1"/>
        <v>826137261</v>
      </c>
      <c r="E38" s="191"/>
      <c r="F38" s="191"/>
      <c r="G38" s="191"/>
      <c r="H38" s="191"/>
      <c r="I38" s="191"/>
      <c r="J38" s="191"/>
      <c r="K38" s="191"/>
      <c r="L38" s="191"/>
      <c r="M38" s="191"/>
      <c r="N38" s="191"/>
      <c r="O38" s="191"/>
      <c r="P38" s="191">
        <f>+'54 (2)'!K41+'54 (2)'!P41</f>
        <v>826137261</v>
      </c>
      <c r="Q38" s="153">
        <f t="shared" si="2"/>
        <v>115.15247655168666</v>
      </c>
      <c r="S38" s="490"/>
      <c r="T38" s="490"/>
      <c r="U38" s="490"/>
      <c r="V38" s="490"/>
      <c r="W38" s="490"/>
      <c r="X38" s="490"/>
      <c r="Y38" s="490"/>
      <c r="Z38" s="490"/>
      <c r="AA38" s="490"/>
      <c r="AB38" s="490"/>
      <c r="AC38" s="490"/>
      <c r="AD38" s="490"/>
    </row>
    <row r="39" spans="1:30" s="23" customFormat="1" ht="14">
      <c r="A39" s="472">
        <v>26</v>
      </c>
      <c r="B39" s="473" t="s">
        <v>528</v>
      </c>
      <c r="C39" s="191">
        <f>+'54 (2)'!E42+'54 (2)'!H42</f>
        <v>1117882000</v>
      </c>
      <c r="D39" s="191">
        <f>SUM(E39:P39)</f>
        <v>1243906141</v>
      </c>
      <c r="E39" s="191"/>
      <c r="F39" s="191"/>
      <c r="G39" s="191"/>
      <c r="H39" s="191"/>
      <c r="I39" s="191"/>
      <c r="J39" s="191"/>
      <c r="K39" s="191"/>
      <c r="L39" s="191"/>
      <c r="M39" s="191"/>
      <c r="N39" s="191"/>
      <c r="O39" s="191"/>
      <c r="P39" s="191">
        <f>+'54 (2)'!K42+'54 (2)'!P42</f>
        <v>1243906141</v>
      </c>
      <c r="Q39" s="153">
        <f>(D39/C39)*100</f>
        <v>111.27347439175155</v>
      </c>
      <c r="S39" s="490"/>
      <c r="T39" s="490"/>
      <c r="U39" s="490"/>
      <c r="V39" s="490"/>
      <c r="W39" s="490"/>
      <c r="X39" s="490"/>
      <c r="Y39" s="490"/>
      <c r="Z39" s="490"/>
      <c r="AA39" s="490"/>
      <c r="AB39" s="490"/>
      <c r="AC39" s="490"/>
      <c r="AD39" s="490"/>
    </row>
    <row r="40" spans="1:30" s="23" customFormat="1" ht="14">
      <c r="A40" s="472">
        <v>27</v>
      </c>
      <c r="B40" s="473" t="s">
        <v>529</v>
      </c>
      <c r="C40" s="191">
        <f>+'54 (2)'!E43+'54 (2)'!H43</f>
        <v>1040769000</v>
      </c>
      <c r="D40" s="191">
        <f>SUM(E40:P40)</f>
        <v>932682556</v>
      </c>
      <c r="E40" s="191"/>
      <c r="F40" s="191"/>
      <c r="G40" s="191"/>
      <c r="H40" s="191"/>
      <c r="I40" s="191"/>
      <c r="J40" s="191"/>
      <c r="K40" s="191"/>
      <c r="L40" s="191"/>
      <c r="M40" s="191"/>
      <c r="N40" s="191"/>
      <c r="O40" s="191"/>
      <c r="P40" s="191">
        <f>+'54 (2)'!K43+'54 (2)'!P43</f>
        <v>932682556</v>
      </c>
      <c r="Q40" s="153">
        <f>(D40/C40)*100</f>
        <v>89.614751784497798</v>
      </c>
      <c r="S40" s="490"/>
      <c r="T40" s="490"/>
      <c r="U40" s="490"/>
      <c r="V40" s="490"/>
      <c r="W40" s="490"/>
      <c r="X40" s="490"/>
      <c r="Y40" s="490"/>
      <c r="Z40" s="490"/>
      <c r="AA40" s="490"/>
      <c r="AB40" s="490"/>
      <c r="AC40" s="490"/>
      <c r="AD40" s="490"/>
    </row>
    <row r="41" spans="1:30" s="23" customFormat="1" ht="14">
      <c r="A41" s="472">
        <v>28</v>
      </c>
      <c r="B41" s="473" t="s">
        <v>530</v>
      </c>
      <c r="C41" s="191">
        <f>+'54 (2)'!E44+'54 (2)'!H44</f>
        <v>1091074000</v>
      </c>
      <c r="D41" s="191">
        <f>SUM(E41:P41)</f>
        <v>2421937066</v>
      </c>
      <c r="E41" s="191"/>
      <c r="F41" s="191"/>
      <c r="G41" s="191"/>
      <c r="H41" s="191"/>
      <c r="I41" s="191"/>
      <c r="J41" s="191"/>
      <c r="K41" s="191"/>
      <c r="L41" s="191"/>
      <c r="M41" s="375">
        <f>745175449+701000000</f>
        <v>1446175449</v>
      </c>
      <c r="N41" s="191"/>
      <c r="O41" s="191"/>
      <c r="P41" s="191">
        <f>+'54 (2)'!K44+'54 (2)'!P44-M41</f>
        <v>975761617</v>
      </c>
      <c r="Q41" s="153">
        <f>(D41/C41)*100</f>
        <v>221.97734214177959</v>
      </c>
      <c r="S41" s="490"/>
      <c r="T41" s="490"/>
      <c r="U41" s="490"/>
      <c r="V41" s="490"/>
      <c r="W41" s="490"/>
      <c r="X41" s="490"/>
      <c r="Y41" s="490"/>
      <c r="Z41" s="490"/>
      <c r="AA41" s="490"/>
      <c r="AB41" s="490"/>
      <c r="AC41" s="490"/>
      <c r="AD41" s="490"/>
    </row>
    <row r="42" spans="1:30" s="23" customFormat="1" ht="14">
      <c r="A42" s="472">
        <v>29</v>
      </c>
      <c r="B42" s="473" t="s">
        <v>112</v>
      </c>
      <c r="C42" s="191">
        <f>+'54 (2)'!E45+'54 (2)'!H45</f>
        <v>25000000</v>
      </c>
      <c r="D42" s="191">
        <f t="shared" si="1"/>
        <v>25000000</v>
      </c>
      <c r="E42" s="191">
        <v>25000000</v>
      </c>
      <c r="F42" s="191"/>
      <c r="G42" s="191"/>
      <c r="H42" s="191"/>
      <c r="I42" s="191"/>
      <c r="J42" s="191"/>
      <c r="K42" s="191"/>
      <c r="L42" s="191"/>
      <c r="M42" s="191"/>
      <c r="N42" s="191"/>
      <c r="O42" s="191"/>
      <c r="P42" s="191"/>
      <c r="Q42" s="153">
        <f t="shared" si="2"/>
        <v>100</v>
      </c>
      <c r="S42" s="490"/>
      <c r="T42" s="490"/>
      <c r="U42" s="490"/>
      <c r="V42" s="490"/>
      <c r="W42" s="490"/>
      <c r="X42" s="490"/>
      <c r="Y42" s="490"/>
      <c r="Z42" s="490"/>
      <c r="AA42" s="490"/>
      <c r="AB42" s="490"/>
      <c r="AC42" s="490"/>
      <c r="AD42" s="490"/>
    </row>
    <row r="43" spans="1:30" s="23" customFormat="1" ht="14">
      <c r="A43" s="472">
        <v>30</v>
      </c>
      <c r="B43" s="473" t="s">
        <v>113</v>
      </c>
      <c r="C43" s="191">
        <f>+'54 (2)'!E46+'54 (2)'!H46</f>
        <v>25000000</v>
      </c>
      <c r="D43" s="191">
        <f t="shared" si="1"/>
        <v>24824136</v>
      </c>
      <c r="E43" s="191">
        <v>24824136</v>
      </c>
      <c r="F43" s="191"/>
      <c r="G43" s="191"/>
      <c r="H43" s="191"/>
      <c r="I43" s="191"/>
      <c r="J43" s="191"/>
      <c r="K43" s="191"/>
      <c r="L43" s="191"/>
      <c r="M43" s="191"/>
      <c r="N43" s="191"/>
      <c r="O43" s="191"/>
      <c r="P43" s="191"/>
      <c r="Q43" s="153">
        <f t="shared" si="2"/>
        <v>99.296543999999997</v>
      </c>
      <c r="S43" s="490"/>
      <c r="T43" s="490"/>
      <c r="U43" s="490"/>
      <c r="V43" s="490"/>
      <c r="W43" s="490"/>
      <c r="X43" s="490"/>
      <c r="Y43" s="490"/>
      <c r="Z43" s="490"/>
      <c r="AA43" s="490"/>
      <c r="AB43" s="490"/>
      <c r="AC43" s="490"/>
      <c r="AD43" s="490"/>
    </row>
    <row r="44" spans="1:30" s="23" customFormat="1" ht="14">
      <c r="A44" s="472">
        <v>31</v>
      </c>
      <c r="B44" s="473" t="s">
        <v>114</v>
      </c>
      <c r="C44" s="191">
        <f>+'54 (2)'!E47+'54 (2)'!H47</f>
        <v>25000000</v>
      </c>
      <c r="D44" s="191">
        <f t="shared" si="1"/>
        <v>22667148</v>
      </c>
      <c r="E44" s="191">
        <v>22667148</v>
      </c>
      <c r="F44" s="191"/>
      <c r="G44" s="191"/>
      <c r="H44" s="191"/>
      <c r="I44" s="191"/>
      <c r="J44" s="191"/>
      <c r="K44" s="191"/>
      <c r="L44" s="191"/>
      <c r="M44" s="191"/>
      <c r="N44" s="191"/>
      <c r="O44" s="191"/>
      <c r="P44" s="191"/>
      <c r="Q44" s="153">
        <f t="shared" si="2"/>
        <v>90.668592000000004</v>
      </c>
      <c r="S44" s="490"/>
      <c r="T44" s="490"/>
      <c r="U44" s="490"/>
      <c r="V44" s="490"/>
      <c r="W44" s="490"/>
      <c r="X44" s="490"/>
      <c r="Y44" s="490"/>
      <c r="Z44" s="490"/>
      <c r="AA44" s="490"/>
      <c r="AB44" s="490"/>
      <c r="AC44" s="490"/>
      <c r="AD44" s="490"/>
    </row>
    <row r="45" spans="1:30" s="23" customFormat="1" ht="14">
      <c r="A45" s="472">
        <v>32</v>
      </c>
      <c r="B45" s="473" t="s">
        <v>115</v>
      </c>
      <c r="C45" s="191">
        <f>+'54 (2)'!E48+'54 (2)'!H48</f>
        <v>380000000</v>
      </c>
      <c r="D45" s="191">
        <f t="shared" si="1"/>
        <v>371470000</v>
      </c>
      <c r="E45" s="191"/>
      <c r="F45" s="191"/>
      <c r="G45" s="191">
        <v>371470000</v>
      </c>
      <c r="H45" s="191"/>
      <c r="I45" s="191"/>
      <c r="J45" s="191"/>
      <c r="K45" s="191"/>
      <c r="L45" s="191"/>
      <c r="M45" s="191"/>
      <c r="N45" s="191"/>
      <c r="O45" s="191"/>
      <c r="P45" s="191"/>
      <c r="Q45" s="153"/>
      <c r="S45" s="490"/>
      <c r="T45" s="490"/>
      <c r="U45" s="490"/>
      <c r="V45" s="490"/>
      <c r="W45" s="490"/>
      <c r="X45" s="490"/>
      <c r="Y45" s="490"/>
      <c r="Z45" s="490"/>
      <c r="AA45" s="490"/>
      <c r="AB45" s="490"/>
      <c r="AC45" s="490"/>
      <c r="AD45" s="490"/>
    </row>
    <row r="46" spans="1:30" s="23" customFormat="1" ht="14">
      <c r="A46" s="472">
        <v>33</v>
      </c>
      <c r="B46" s="473" t="s">
        <v>116</v>
      </c>
      <c r="C46" s="191">
        <f>+'54 (2)'!E49+'54 (2)'!H49</f>
        <v>0</v>
      </c>
      <c r="D46" s="191">
        <f t="shared" si="1"/>
        <v>699605000</v>
      </c>
      <c r="E46" s="191"/>
      <c r="F46" s="191"/>
      <c r="G46" s="191"/>
      <c r="H46" s="191"/>
      <c r="I46" s="191"/>
      <c r="J46" s="191"/>
      <c r="K46" s="191"/>
      <c r="L46" s="191">
        <v>113664000</v>
      </c>
      <c r="M46" s="375">
        <v>585941000</v>
      </c>
      <c r="N46" s="191"/>
      <c r="O46" s="191"/>
      <c r="P46" s="191"/>
      <c r="Q46" s="153"/>
      <c r="S46" s="490"/>
      <c r="T46" s="490"/>
      <c r="U46" s="490"/>
      <c r="V46" s="490"/>
      <c r="W46" s="490"/>
      <c r="X46" s="490"/>
      <c r="Y46" s="490"/>
      <c r="Z46" s="490"/>
      <c r="AA46" s="490"/>
      <c r="AB46" s="490"/>
      <c r="AC46" s="490"/>
      <c r="AD46" s="490"/>
    </row>
    <row r="47" spans="1:30" s="23" customFormat="1" ht="14">
      <c r="A47" s="472">
        <v>34</v>
      </c>
      <c r="B47" s="473" t="s">
        <v>117</v>
      </c>
      <c r="C47" s="191">
        <f>+'54 (2)'!E50+'54 (2)'!H50</f>
        <v>0</v>
      </c>
      <c r="D47" s="191">
        <f t="shared" si="1"/>
        <v>24153600</v>
      </c>
      <c r="E47" s="191"/>
      <c r="F47" s="191"/>
      <c r="G47" s="191"/>
      <c r="H47" s="191"/>
      <c r="I47" s="191"/>
      <c r="J47" s="191"/>
      <c r="K47" s="191"/>
      <c r="L47" s="191">
        <f>+'54 (2)'!K50</f>
        <v>24153600</v>
      </c>
      <c r="M47" s="191"/>
      <c r="N47" s="191"/>
      <c r="O47" s="191"/>
      <c r="P47" s="191"/>
      <c r="Q47" s="153"/>
      <c r="S47" s="490"/>
      <c r="T47" s="490"/>
      <c r="U47" s="490"/>
      <c r="V47" s="490"/>
      <c r="W47" s="490"/>
      <c r="X47" s="490"/>
      <c r="Y47" s="490"/>
      <c r="Z47" s="490"/>
      <c r="AA47" s="490"/>
      <c r="AB47" s="490"/>
      <c r="AC47" s="490"/>
      <c r="AD47" s="490"/>
    </row>
    <row r="48" spans="1:30" s="23" customFormat="1" ht="14">
      <c r="A48" s="472">
        <v>35</v>
      </c>
      <c r="B48" s="473" t="s">
        <v>118</v>
      </c>
      <c r="C48" s="191">
        <f>+'54 (2)'!E51+'54 (2)'!H51</f>
        <v>0</v>
      </c>
      <c r="D48" s="191">
        <f t="shared" si="1"/>
        <v>75302400</v>
      </c>
      <c r="E48" s="191"/>
      <c r="F48" s="191"/>
      <c r="G48" s="191"/>
      <c r="H48" s="191"/>
      <c r="I48" s="191"/>
      <c r="J48" s="191"/>
      <c r="K48" s="191"/>
      <c r="L48" s="191">
        <f>+'54 (2)'!K51</f>
        <v>75302400</v>
      </c>
      <c r="M48" s="191"/>
      <c r="N48" s="191"/>
      <c r="O48" s="191"/>
      <c r="P48" s="191"/>
      <c r="Q48" s="153"/>
      <c r="S48" s="490"/>
      <c r="T48" s="490"/>
      <c r="U48" s="490"/>
      <c r="V48" s="490"/>
      <c r="W48" s="490"/>
      <c r="X48" s="490"/>
      <c r="Y48" s="490"/>
      <c r="Z48" s="490"/>
      <c r="AA48" s="490"/>
      <c r="AB48" s="490"/>
      <c r="AC48" s="490"/>
      <c r="AD48" s="490"/>
    </row>
    <row r="49" spans="1:30" s="23" customFormat="1" ht="28">
      <c r="A49" s="472">
        <v>36</v>
      </c>
      <c r="B49" s="473" t="str">
        <f>+'54 (2)'!B52</f>
        <v>Trung tâm dịch vụ môi trương và đô thị huyện</v>
      </c>
      <c r="C49" s="191">
        <f>+'54 (2)'!E52+'54 (2)'!H52</f>
        <v>310000000</v>
      </c>
      <c r="D49" s="191">
        <f>SUM(E49:P49)</f>
        <v>271654563</v>
      </c>
      <c r="E49" s="191"/>
      <c r="F49" s="191"/>
      <c r="G49" s="191"/>
      <c r="H49" s="191"/>
      <c r="I49" s="191"/>
      <c r="J49" s="191"/>
      <c r="K49" s="191">
        <v>271654563</v>
      </c>
      <c r="L49" s="191"/>
      <c r="M49" s="191"/>
      <c r="N49" s="191"/>
      <c r="O49" s="191"/>
      <c r="P49" s="191"/>
      <c r="Q49" s="153">
        <f t="shared" si="2"/>
        <v>87.63050419354839</v>
      </c>
      <c r="S49" s="490"/>
      <c r="T49" s="490"/>
      <c r="U49" s="490"/>
      <c r="V49" s="490"/>
      <c r="W49" s="490"/>
      <c r="X49" s="490"/>
      <c r="Y49" s="490"/>
      <c r="Z49" s="490"/>
      <c r="AA49" s="490"/>
      <c r="AB49" s="490"/>
      <c r="AC49" s="490"/>
      <c r="AD49" s="490"/>
    </row>
    <row r="50" spans="1:30">
      <c r="A50" s="472">
        <v>37</v>
      </c>
      <c r="B50" s="473" t="s">
        <v>119</v>
      </c>
      <c r="C50" s="191">
        <f>+'54 (2)'!E53+'54 (2)'!H53</f>
        <v>0</v>
      </c>
      <c r="D50" s="191">
        <f t="shared" si="1"/>
        <v>30000000</v>
      </c>
      <c r="E50" s="191"/>
      <c r="F50" s="191"/>
      <c r="G50" s="191"/>
      <c r="H50" s="191"/>
      <c r="I50" s="191"/>
      <c r="J50" s="191"/>
      <c r="K50" s="191"/>
      <c r="L50" s="191"/>
      <c r="M50" s="191"/>
      <c r="N50" s="191">
        <f>+'54 (2)'!K53</f>
        <v>30000000</v>
      </c>
      <c r="O50" s="191"/>
      <c r="P50" s="191"/>
      <c r="Q50" s="153"/>
    </row>
    <row r="51" spans="1:30">
      <c r="A51" s="472">
        <v>38</v>
      </c>
      <c r="B51" s="473" t="s">
        <v>120</v>
      </c>
      <c r="C51" s="191">
        <f>+'54 (2)'!E54+'54 (2)'!H54</f>
        <v>0</v>
      </c>
      <c r="D51" s="191">
        <f t="shared" si="1"/>
        <v>20000000</v>
      </c>
      <c r="E51" s="191"/>
      <c r="F51" s="191"/>
      <c r="G51" s="191"/>
      <c r="H51" s="191"/>
      <c r="I51" s="191"/>
      <c r="J51" s="191"/>
      <c r="K51" s="191"/>
      <c r="L51" s="191"/>
      <c r="M51" s="191"/>
      <c r="N51" s="191">
        <f>+'54 (2)'!K54</f>
        <v>20000000</v>
      </c>
      <c r="O51" s="191"/>
      <c r="P51" s="191"/>
      <c r="Q51" s="153"/>
    </row>
    <row r="52" spans="1:30">
      <c r="A52" s="472">
        <v>39</v>
      </c>
      <c r="B52" s="473" t="s">
        <v>121</v>
      </c>
      <c r="C52" s="191">
        <f>+'54 (2)'!E55+'54 (2)'!H55</f>
        <v>65000000</v>
      </c>
      <c r="D52" s="191">
        <f t="shared" si="1"/>
        <v>58500000</v>
      </c>
      <c r="E52" s="191"/>
      <c r="F52" s="191"/>
      <c r="G52" s="191"/>
      <c r="H52" s="191"/>
      <c r="I52" s="191"/>
      <c r="J52" s="191"/>
      <c r="K52" s="191"/>
      <c r="L52" s="191"/>
      <c r="M52" s="191"/>
      <c r="N52" s="191">
        <f>+'54 (2)'!K55+'54 (2)'!N55</f>
        <v>58500000</v>
      </c>
      <c r="O52" s="191"/>
      <c r="P52" s="191"/>
      <c r="Q52" s="153"/>
    </row>
    <row r="53" spans="1:30" ht="28">
      <c r="A53" s="472">
        <v>40</v>
      </c>
      <c r="B53" s="473" t="s">
        <v>362</v>
      </c>
      <c r="C53" s="191">
        <f>+'54 (2)'!E56+'54 (2)'!H56</f>
        <v>0</v>
      </c>
      <c r="D53" s="191">
        <f>SUM(E53:P53)</f>
        <v>14160000</v>
      </c>
      <c r="E53" s="191"/>
      <c r="F53" s="191"/>
      <c r="G53" s="191"/>
      <c r="H53" s="191"/>
      <c r="I53" s="191"/>
      <c r="J53" s="191"/>
      <c r="K53" s="191"/>
      <c r="L53" s="191"/>
      <c r="M53" s="191"/>
      <c r="N53" s="191">
        <f>+'54 (2)'!K56</f>
        <v>14160000</v>
      </c>
      <c r="O53" s="191"/>
      <c r="P53" s="191"/>
      <c r="Q53" s="153"/>
    </row>
    <row r="54" spans="1:30">
      <c r="A54" s="472">
        <v>41</v>
      </c>
      <c r="B54" s="473" t="s">
        <v>361</v>
      </c>
      <c r="C54" s="191">
        <f>+'54 (2)'!E57+'54 (2)'!H57</f>
        <v>1200000000</v>
      </c>
      <c r="D54" s="191">
        <f>SUM(E54:P54)</f>
        <v>1200000000</v>
      </c>
      <c r="E54" s="191"/>
      <c r="F54" s="191"/>
      <c r="G54" s="191"/>
      <c r="H54" s="191"/>
      <c r="I54" s="191"/>
      <c r="J54" s="191"/>
      <c r="K54" s="191"/>
      <c r="L54" s="191">
        <f>+'54 (2)'!K57</f>
        <v>1200000000</v>
      </c>
      <c r="M54" s="191"/>
      <c r="N54" s="191"/>
      <c r="O54" s="191"/>
      <c r="P54" s="191"/>
      <c r="Q54" s="153"/>
    </row>
    <row r="55" spans="1:30">
      <c r="A55" s="472">
        <v>42</v>
      </c>
      <c r="B55" s="473" t="s">
        <v>557</v>
      </c>
      <c r="C55" s="191">
        <f>+'54 (2)'!E58+'54 (2)'!H58</f>
        <v>0</v>
      </c>
      <c r="D55" s="191">
        <f>SUM(E55:P55)</f>
        <v>45144000</v>
      </c>
      <c r="E55" s="191"/>
      <c r="F55" s="191"/>
      <c r="G55" s="191">
        <f>+'54 (2)'!I58</f>
        <v>45144000</v>
      </c>
      <c r="H55" s="191"/>
      <c r="I55" s="191"/>
      <c r="J55" s="191"/>
      <c r="K55" s="191"/>
      <c r="L55" s="191"/>
      <c r="M55" s="191"/>
      <c r="N55" s="191"/>
      <c r="O55" s="191"/>
      <c r="P55" s="191"/>
      <c r="Q55" s="153"/>
    </row>
    <row r="56" spans="1:30">
      <c r="A56" s="472">
        <v>43</v>
      </c>
      <c r="B56" s="473" t="s">
        <v>533</v>
      </c>
      <c r="C56" s="191">
        <f>+'54 (2)'!E59+'54 (2)'!H59</f>
        <v>0</v>
      </c>
      <c r="D56" s="191">
        <f>SUM(E56:P56)</f>
        <v>200000000</v>
      </c>
      <c r="E56" s="191"/>
      <c r="F56" s="191">
        <f>+'54 (2)'!I59</f>
        <v>200000000</v>
      </c>
      <c r="G56" s="191"/>
      <c r="H56" s="191"/>
      <c r="I56" s="191"/>
      <c r="J56" s="191"/>
      <c r="K56" s="191"/>
      <c r="L56" s="191"/>
      <c r="M56" s="191"/>
      <c r="N56" s="191"/>
      <c r="O56" s="191"/>
      <c r="P56" s="191"/>
      <c r="Q56" s="153"/>
    </row>
    <row r="57" spans="1:30">
      <c r="A57" s="472">
        <v>44</v>
      </c>
      <c r="B57" s="473" t="s">
        <v>359</v>
      </c>
      <c r="C57" s="191">
        <f>+'54 (2)'!E60+'54 (2)'!H60</f>
        <v>1113284000</v>
      </c>
      <c r="D57" s="191">
        <f t="shared" si="1"/>
        <v>0</v>
      </c>
      <c r="E57" s="191"/>
      <c r="F57" s="191"/>
      <c r="G57" s="191"/>
      <c r="H57" s="191"/>
      <c r="I57" s="191"/>
      <c r="J57" s="191"/>
      <c r="K57" s="191"/>
      <c r="L57" s="191"/>
      <c r="M57" s="191"/>
      <c r="N57" s="191"/>
      <c r="O57" s="191"/>
      <c r="P57" s="191"/>
      <c r="Q57" s="153"/>
    </row>
    <row r="58" spans="1:30">
      <c r="D58" s="192">
        <f>+D13-'54 (2)'!K15-'54 (2)'!P15</f>
        <v>0</v>
      </c>
    </row>
    <row r="59" spans="1:30">
      <c r="M59" s="533"/>
      <c r="N59" s="533"/>
      <c r="O59" s="533"/>
      <c r="P59" s="533"/>
    </row>
  </sheetData>
  <mergeCells count="25">
    <mergeCell ref="M59:P59"/>
    <mergeCell ref="H10:H11"/>
    <mergeCell ref="J10:J11"/>
    <mergeCell ref="Q10:Q11"/>
    <mergeCell ref="A4:Q4"/>
    <mergeCell ref="I10:I11"/>
    <mergeCell ref="A5:P5"/>
    <mergeCell ref="A9:P9"/>
    <mergeCell ref="A10:A11"/>
    <mergeCell ref="F10:F11"/>
    <mergeCell ref="M1:Q1"/>
    <mergeCell ref="M2:Q2"/>
    <mergeCell ref="K10:K11"/>
    <mergeCell ref="M10:M11"/>
    <mergeCell ref="P10:P11"/>
    <mergeCell ref="O10:O11"/>
    <mergeCell ref="G10:G11"/>
    <mergeCell ref="A6:P6"/>
    <mergeCell ref="A7:P7"/>
    <mergeCell ref="C10:C11"/>
    <mergeCell ref="B10:B11"/>
    <mergeCell ref="D10:D11"/>
    <mergeCell ref="E10:E11"/>
    <mergeCell ref="L10:L11"/>
    <mergeCell ref="N10:N11"/>
  </mergeCells>
  <pageMargins left="0.35433070866141736" right="0.19685039370078741" top="0.6692913385826772" bottom="0.47244094488188981" header="0.31496062992125984" footer="0.51181102362204722"/>
  <pageSetup paperSize="9" scale="5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60"/>
  <sheetViews>
    <sheetView zoomScale="40" zoomScaleNormal="40" workbookViewId="0">
      <selection activeCell="M20" sqref="M20"/>
    </sheetView>
  </sheetViews>
  <sheetFormatPr defaultColWidth="9.1796875" defaultRowHeight="15.5"/>
  <cols>
    <col min="1" max="1" width="4.453125" style="353" customWidth="1"/>
    <col min="2" max="3" width="17.1796875" style="353" customWidth="1"/>
    <col min="4" max="4" width="15.81640625" style="353" customWidth="1"/>
    <col min="5" max="6" width="13.81640625" style="353" customWidth="1"/>
    <col min="7" max="7" width="17.453125" style="353" customWidth="1"/>
    <col min="8" max="9" width="13.81640625" style="353" customWidth="1"/>
    <col min="10" max="10" width="15.26953125" style="353" customWidth="1"/>
    <col min="11" max="11" width="13.81640625" style="353" customWidth="1"/>
    <col min="12" max="12" width="15.54296875" style="353" customWidth="1"/>
    <col min="13" max="13" width="13.81640625" style="353" customWidth="1"/>
    <col min="14" max="14" width="16.26953125" style="353" customWidth="1"/>
    <col min="15" max="17" width="13.81640625" style="353" customWidth="1"/>
    <col min="18" max="18" width="15" style="353" customWidth="1"/>
    <col min="19" max="20" width="13.81640625" style="353" customWidth="1"/>
    <col min="21" max="21" width="16" style="353" customWidth="1"/>
    <col min="22" max="22" width="13.81640625" style="353" customWidth="1"/>
    <col min="23" max="23" width="15.453125" style="353" customWidth="1"/>
    <col min="24" max="24" width="15.81640625" style="353" customWidth="1"/>
    <col min="25" max="25" width="8.81640625" style="353" customWidth="1"/>
    <col min="26" max="26" width="13.453125" style="353" customWidth="1"/>
    <col min="27" max="27" width="9.26953125" style="353" customWidth="1"/>
    <col min="28" max="16384" width="9.1796875" style="353"/>
  </cols>
  <sheetData>
    <row r="1" spans="1:27" ht="21" customHeight="1">
      <c r="A1" s="349"/>
      <c r="B1" s="349"/>
      <c r="C1" s="350"/>
      <c r="D1" s="350"/>
      <c r="E1" s="350"/>
      <c r="F1" s="351"/>
      <c r="G1" s="350"/>
      <c r="H1" s="350"/>
      <c r="I1" s="351"/>
      <c r="J1" s="351"/>
      <c r="K1" s="351"/>
      <c r="L1" s="352"/>
      <c r="M1" s="352"/>
      <c r="N1" s="350"/>
      <c r="O1" s="350"/>
      <c r="P1" s="350"/>
      <c r="Q1" s="351"/>
      <c r="R1" s="350"/>
      <c r="S1" s="350"/>
      <c r="T1" s="351"/>
      <c r="U1" s="351"/>
      <c r="V1" s="351"/>
      <c r="W1" s="352"/>
      <c r="X1" s="352"/>
      <c r="Y1" s="352"/>
      <c r="Z1" s="352"/>
      <c r="AA1" s="352" t="s">
        <v>536</v>
      </c>
    </row>
    <row r="2" spans="1:27" ht="12.75" hidden="1" customHeight="1">
      <c r="A2" s="354"/>
      <c r="B2" s="354"/>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7" ht="21" customHeight="1">
      <c r="A3" s="351" t="s">
        <v>568</v>
      </c>
      <c r="B3" s="351"/>
      <c r="C3" s="355"/>
      <c r="D3" s="355"/>
      <c r="E3" s="355"/>
      <c r="F3" s="355"/>
      <c r="G3" s="355"/>
      <c r="H3" s="355"/>
      <c r="I3" s="355"/>
      <c r="J3" s="355"/>
      <c r="K3" s="355"/>
      <c r="L3" s="355"/>
      <c r="M3" s="355"/>
      <c r="N3" s="355"/>
      <c r="O3" s="355"/>
      <c r="P3" s="355"/>
      <c r="Q3" s="355"/>
      <c r="R3" s="355"/>
      <c r="S3" s="355"/>
      <c r="T3" s="355"/>
      <c r="U3" s="355"/>
      <c r="V3" s="355"/>
      <c r="W3" s="355"/>
      <c r="X3" s="355"/>
      <c r="Y3" s="355"/>
      <c r="Z3" s="355"/>
      <c r="AA3" s="355"/>
    </row>
    <row r="4" spans="1:27" ht="21" customHeight="1">
      <c r="A4" s="510" t="str">
        <f>+'56'!A5:P5</f>
        <v>(Kèm theo Nghị quyết số     /NQ-HĐND ngày     tháng    năm 2025 của 
Hội đồng nhân dân huyện Ia H'Drai)</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1:27" ht="12.75" hidden="1" customHeight="1">
      <c r="A5" s="351"/>
      <c r="B5" s="356"/>
      <c r="C5" s="350"/>
      <c r="D5" s="350"/>
      <c r="E5" s="350"/>
      <c r="F5" s="350"/>
      <c r="G5" s="350"/>
      <c r="H5" s="350"/>
      <c r="I5" s="350"/>
      <c r="J5" s="350"/>
      <c r="K5" s="350"/>
      <c r="L5" s="350"/>
      <c r="M5" s="350"/>
      <c r="N5" s="350"/>
      <c r="O5" s="350"/>
      <c r="P5" s="350"/>
      <c r="Q5" s="350"/>
      <c r="R5" s="350"/>
      <c r="S5" s="350"/>
      <c r="T5" s="350"/>
      <c r="U5" s="350"/>
      <c r="V5" s="350"/>
      <c r="W5" s="350"/>
      <c r="X5" s="350"/>
      <c r="Y5" s="350"/>
      <c r="Z5" s="350"/>
      <c r="AA5" s="350"/>
    </row>
    <row r="6" spans="1:27" ht="14.25" hidden="1" customHeight="1">
      <c r="A6" s="356"/>
      <c r="B6" s="356"/>
      <c r="C6" s="350"/>
      <c r="D6" s="350"/>
      <c r="E6" s="350"/>
      <c r="F6" s="350"/>
      <c r="G6" s="350"/>
      <c r="H6" s="350"/>
      <c r="I6" s="350"/>
      <c r="J6" s="350"/>
      <c r="K6" s="350"/>
      <c r="L6" s="350"/>
      <c r="M6" s="350"/>
      <c r="N6" s="350"/>
      <c r="O6" s="350"/>
      <c r="P6" s="350"/>
      <c r="Q6" s="350"/>
      <c r="R6" s="350"/>
      <c r="S6" s="350"/>
      <c r="T6" s="350"/>
      <c r="U6" s="350"/>
      <c r="V6" s="350"/>
      <c r="W6" s="350"/>
      <c r="X6" s="350"/>
      <c r="Y6" s="350"/>
      <c r="Z6" s="350"/>
      <c r="AA6" s="350"/>
    </row>
    <row r="7" spans="1:27" ht="19.5" customHeight="1" thickBot="1">
      <c r="A7" s="357"/>
      <c r="B7" s="357"/>
      <c r="C7" s="358"/>
      <c r="D7" s="358"/>
      <c r="E7" s="358"/>
      <c r="F7" s="376"/>
      <c r="G7" s="358"/>
      <c r="H7" s="551"/>
      <c r="I7" s="551"/>
      <c r="J7" s="357"/>
      <c r="K7" s="357"/>
      <c r="L7" s="357"/>
      <c r="M7" s="357"/>
      <c r="N7" s="358"/>
      <c r="O7" s="358"/>
      <c r="P7" s="358"/>
      <c r="Q7" s="376"/>
      <c r="R7" s="358"/>
      <c r="S7" s="551"/>
      <c r="T7" s="551"/>
      <c r="U7" s="553" t="s">
        <v>307</v>
      </c>
      <c r="V7" s="553"/>
      <c r="W7" s="553"/>
      <c r="X7" s="553"/>
      <c r="Y7" s="553"/>
      <c r="Z7" s="553"/>
      <c r="AA7" s="553"/>
    </row>
    <row r="8" spans="1:27" s="383" customFormat="1" ht="21" customHeight="1">
      <c r="A8" s="554" t="s">
        <v>7</v>
      </c>
      <c r="B8" s="557" t="s">
        <v>67</v>
      </c>
      <c r="C8" s="536" t="s">
        <v>347</v>
      </c>
      <c r="D8" s="537"/>
      <c r="E8" s="537"/>
      <c r="F8" s="537"/>
      <c r="G8" s="537"/>
      <c r="H8" s="537"/>
      <c r="I8" s="537"/>
      <c r="J8" s="537"/>
      <c r="K8" s="537"/>
      <c r="L8" s="537"/>
      <c r="M8" s="552"/>
      <c r="N8" s="536" t="s">
        <v>29</v>
      </c>
      <c r="O8" s="537"/>
      <c r="P8" s="537"/>
      <c r="Q8" s="537"/>
      <c r="R8" s="537"/>
      <c r="S8" s="537"/>
      <c r="T8" s="537"/>
      <c r="U8" s="537"/>
      <c r="V8" s="537"/>
      <c r="W8" s="537"/>
      <c r="X8" s="552"/>
      <c r="Y8" s="536" t="s">
        <v>301</v>
      </c>
      <c r="Z8" s="537"/>
      <c r="AA8" s="538"/>
    </row>
    <row r="9" spans="1:27" s="383" customFormat="1" ht="21" customHeight="1">
      <c r="A9" s="555"/>
      <c r="B9" s="558"/>
      <c r="C9" s="384"/>
      <c r="D9" s="539" t="s">
        <v>35</v>
      </c>
      <c r="E9" s="540"/>
      <c r="F9" s="541"/>
      <c r="G9" s="539" t="s">
        <v>34</v>
      </c>
      <c r="H9" s="540"/>
      <c r="I9" s="541"/>
      <c r="J9" s="542" t="s">
        <v>569</v>
      </c>
      <c r="K9" s="543"/>
      <c r="L9" s="544"/>
      <c r="M9" s="385" t="s">
        <v>537</v>
      </c>
      <c r="N9" s="384"/>
      <c r="O9" s="539" t="s">
        <v>35</v>
      </c>
      <c r="P9" s="540"/>
      <c r="Q9" s="541"/>
      <c r="R9" s="539" t="s">
        <v>34</v>
      </c>
      <c r="S9" s="540"/>
      <c r="T9" s="541"/>
      <c r="U9" s="542" t="s">
        <v>570</v>
      </c>
      <c r="V9" s="543"/>
      <c r="W9" s="544"/>
      <c r="X9" s="385" t="s">
        <v>537</v>
      </c>
      <c r="Y9" s="386"/>
      <c r="Z9" s="545" t="s">
        <v>35</v>
      </c>
      <c r="AA9" s="547" t="s">
        <v>34</v>
      </c>
    </row>
    <row r="10" spans="1:27" s="383" customFormat="1" ht="21" customHeight="1">
      <c r="A10" s="555"/>
      <c r="B10" s="558"/>
      <c r="C10" s="386"/>
      <c r="D10" s="387"/>
      <c r="E10" s="549" t="s">
        <v>23</v>
      </c>
      <c r="F10" s="550"/>
      <c r="G10" s="387"/>
      <c r="H10" s="549" t="s">
        <v>23</v>
      </c>
      <c r="I10" s="550"/>
      <c r="J10" s="388"/>
      <c r="K10" s="549" t="s">
        <v>23</v>
      </c>
      <c r="L10" s="550"/>
      <c r="M10" s="385" t="s">
        <v>538</v>
      </c>
      <c r="N10" s="386"/>
      <c r="O10" s="387"/>
      <c r="P10" s="549" t="s">
        <v>23</v>
      </c>
      <c r="Q10" s="550"/>
      <c r="R10" s="387"/>
      <c r="S10" s="549" t="s">
        <v>23</v>
      </c>
      <c r="T10" s="550"/>
      <c r="U10" s="388"/>
      <c r="V10" s="549" t="s">
        <v>23</v>
      </c>
      <c r="W10" s="550"/>
      <c r="X10" s="385" t="s">
        <v>538</v>
      </c>
      <c r="Y10" s="389" t="s">
        <v>345</v>
      </c>
      <c r="Z10" s="546"/>
      <c r="AA10" s="548"/>
    </row>
    <row r="11" spans="1:27" s="383" customFormat="1" ht="21" customHeight="1">
      <c r="A11" s="555"/>
      <c r="B11" s="558"/>
      <c r="C11" s="389" t="s">
        <v>345</v>
      </c>
      <c r="D11" s="388" t="s">
        <v>345</v>
      </c>
      <c r="E11" s="388" t="s">
        <v>540</v>
      </c>
      <c r="F11" s="388" t="s">
        <v>540</v>
      </c>
      <c r="G11" s="388" t="s">
        <v>345</v>
      </c>
      <c r="H11" s="388" t="s">
        <v>540</v>
      </c>
      <c r="I11" s="388" t="s">
        <v>540</v>
      </c>
      <c r="J11" s="388" t="s">
        <v>345</v>
      </c>
      <c r="K11" s="545" t="s">
        <v>35</v>
      </c>
      <c r="L11" s="545" t="s">
        <v>34</v>
      </c>
      <c r="M11" s="388" t="s">
        <v>541</v>
      </c>
      <c r="N11" s="389" t="s">
        <v>345</v>
      </c>
      <c r="O11" s="388" t="s">
        <v>345</v>
      </c>
      <c r="P11" s="388" t="s">
        <v>540</v>
      </c>
      <c r="Q11" s="388" t="s">
        <v>540</v>
      </c>
      <c r="R11" s="388" t="s">
        <v>345</v>
      </c>
      <c r="S11" s="388" t="s">
        <v>540</v>
      </c>
      <c r="T11" s="388" t="s">
        <v>540</v>
      </c>
      <c r="U11" s="388" t="s">
        <v>345</v>
      </c>
      <c r="V11" s="545" t="s">
        <v>35</v>
      </c>
      <c r="W11" s="545" t="s">
        <v>34</v>
      </c>
      <c r="X11" s="388" t="s">
        <v>541</v>
      </c>
      <c r="Y11" s="389" t="s">
        <v>539</v>
      </c>
      <c r="Z11" s="546"/>
      <c r="AA11" s="548"/>
    </row>
    <row r="12" spans="1:27" s="383" customFormat="1" ht="21" customHeight="1">
      <c r="A12" s="555"/>
      <c r="B12" s="558"/>
      <c r="C12" s="389" t="s">
        <v>539</v>
      </c>
      <c r="D12" s="388" t="s">
        <v>539</v>
      </c>
      <c r="E12" s="388" t="s">
        <v>542</v>
      </c>
      <c r="F12" s="388" t="s">
        <v>543</v>
      </c>
      <c r="G12" s="388" t="s">
        <v>539</v>
      </c>
      <c r="H12" s="388" t="s">
        <v>542</v>
      </c>
      <c r="I12" s="388" t="s">
        <v>543</v>
      </c>
      <c r="J12" s="388" t="s">
        <v>539</v>
      </c>
      <c r="K12" s="546"/>
      <c r="L12" s="546"/>
      <c r="M12" s="388" t="s">
        <v>544</v>
      </c>
      <c r="N12" s="389" t="s">
        <v>539</v>
      </c>
      <c r="O12" s="388" t="s">
        <v>539</v>
      </c>
      <c r="P12" s="388" t="s">
        <v>542</v>
      </c>
      <c r="Q12" s="388" t="s">
        <v>543</v>
      </c>
      <c r="R12" s="388" t="s">
        <v>539</v>
      </c>
      <c r="S12" s="388" t="s">
        <v>542</v>
      </c>
      <c r="T12" s="388" t="s">
        <v>543</v>
      </c>
      <c r="U12" s="388" t="s">
        <v>539</v>
      </c>
      <c r="V12" s="546"/>
      <c r="W12" s="546"/>
      <c r="X12" s="388" t="s">
        <v>544</v>
      </c>
      <c r="Y12" s="389"/>
      <c r="Z12" s="546"/>
      <c r="AA12" s="548"/>
    </row>
    <row r="13" spans="1:27" s="383" customFormat="1" ht="21" customHeight="1">
      <c r="A13" s="555"/>
      <c r="B13" s="558"/>
      <c r="C13" s="389"/>
      <c r="D13" s="388"/>
      <c r="E13" s="388" t="s">
        <v>545</v>
      </c>
      <c r="F13" s="388" t="s">
        <v>546</v>
      </c>
      <c r="G13" s="388"/>
      <c r="H13" s="388" t="s">
        <v>545</v>
      </c>
      <c r="I13" s="388" t="s">
        <v>546</v>
      </c>
      <c r="J13" s="388"/>
      <c r="K13" s="546"/>
      <c r="L13" s="546"/>
      <c r="M13" s="388" t="s">
        <v>547</v>
      </c>
      <c r="N13" s="389"/>
      <c r="O13" s="388"/>
      <c r="P13" s="388" t="s">
        <v>545</v>
      </c>
      <c r="Q13" s="388" t="s">
        <v>546</v>
      </c>
      <c r="R13" s="388"/>
      <c r="S13" s="388" t="s">
        <v>545</v>
      </c>
      <c r="T13" s="388" t="s">
        <v>546</v>
      </c>
      <c r="U13" s="388"/>
      <c r="V13" s="546"/>
      <c r="W13" s="546"/>
      <c r="X13" s="388" t="s">
        <v>547</v>
      </c>
      <c r="Y13" s="389"/>
      <c r="Z13" s="546"/>
      <c r="AA13" s="548"/>
    </row>
    <row r="14" spans="1:27" s="383" customFormat="1" ht="21" customHeight="1">
      <c r="A14" s="555"/>
      <c r="B14" s="558"/>
      <c r="C14" s="389"/>
      <c r="D14" s="388"/>
      <c r="E14" s="388" t="s">
        <v>548</v>
      </c>
      <c r="F14" s="388" t="s">
        <v>549</v>
      </c>
      <c r="G14" s="388"/>
      <c r="H14" s="388" t="s">
        <v>548</v>
      </c>
      <c r="I14" s="388" t="s">
        <v>549</v>
      </c>
      <c r="J14" s="388"/>
      <c r="K14" s="546"/>
      <c r="L14" s="546"/>
      <c r="M14" s="388" t="s">
        <v>550</v>
      </c>
      <c r="N14" s="389"/>
      <c r="O14" s="388"/>
      <c r="P14" s="388" t="s">
        <v>548</v>
      </c>
      <c r="Q14" s="388" t="s">
        <v>549</v>
      </c>
      <c r="R14" s="388"/>
      <c r="S14" s="388" t="s">
        <v>548</v>
      </c>
      <c r="T14" s="388" t="s">
        <v>549</v>
      </c>
      <c r="U14" s="388"/>
      <c r="V14" s="546"/>
      <c r="W14" s="546"/>
      <c r="X14" s="388" t="s">
        <v>550</v>
      </c>
      <c r="Y14" s="389"/>
      <c r="Z14" s="546"/>
      <c r="AA14" s="548"/>
    </row>
    <row r="15" spans="1:27" s="383" customFormat="1" ht="21" customHeight="1">
      <c r="A15" s="555"/>
      <c r="B15" s="558"/>
      <c r="C15" s="389"/>
      <c r="D15" s="388"/>
      <c r="E15" s="388" t="s">
        <v>551</v>
      </c>
      <c r="F15" s="388" t="s">
        <v>552</v>
      </c>
      <c r="G15" s="388"/>
      <c r="H15" s="388" t="s">
        <v>551</v>
      </c>
      <c r="I15" s="388" t="s">
        <v>552</v>
      </c>
      <c r="J15" s="388"/>
      <c r="K15" s="546"/>
      <c r="L15" s="546"/>
      <c r="M15" s="388"/>
      <c r="N15" s="389"/>
      <c r="O15" s="388"/>
      <c r="P15" s="388" t="s">
        <v>551</v>
      </c>
      <c r="Q15" s="388" t="s">
        <v>552</v>
      </c>
      <c r="R15" s="388"/>
      <c r="S15" s="388" t="s">
        <v>551</v>
      </c>
      <c r="T15" s="388" t="s">
        <v>552</v>
      </c>
      <c r="U15" s="388"/>
      <c r="V15" s="546"/>
      <c r="W15" s="546"/>
      <c r="X15" s="388"/>
      <c r="Y15" s="389"/>
      <c r="Z15" s="546"/>
      <c r="AA15" s="548"/>
    </row>
    <row r="16" spans="1:27" s="383" customFormat="1" ht="21" customHeight="1">
      <c r="A16" s="555"/>
      <c r="B16" s="558"/>
      <c r="C16" s="389"/>
      <c r="D16" s="388"/>
      <c r="E16" s="388" t="s">
        <v>553</v>
      </c>
      <c r="F16" s="388" t="s">
        <v>554</v>
      </c>
      <c r="G16" s="388"/>
      <c r="H16" s="388" t="s">
        <v>553</v>
      </c>
      <c r="I16" s="388" t="s">
        <v>554</v>
      </c>
      <c r="J16" s="388"/>
      <c r="K16" s="546"/>
      <c r="L16" s="546"/>
      <c r="M16" s="388"/>
      <c r="N16" s="389"/>
      <c r="O16" s="388"/>
      <c r="P16" s="388" t="s">
        <v>553</v>
      </c>
      <c r="Q16" s="388" t="s">
        <v>554</v>
      </c>
      <c r="R16" s="388"/>
      <c r="S16" s="388" t="s">
        <v>553</v>
      </c>
      <c r="T16" s="388" t="s">
        <v>554</v>
      </c>
      <c r="U16" s="388"/>
      <c r="V16" s="546"/>
      <c r="W16" s="546"/>
      <c r="X16" s="388"/>
      <c r="Y16" s="389"/>
      <c r="Z16" s="546"/>
      <c r="AA16" s="548"/>
    </row>
    <row r="17" spans="1:27" s="383" customFormat="1" ht="21" customHeight="1">
      <c r="A17" s="556"/>
      <c r="B17" s="559"/>
      <c r="C17" s="389"/>
      <c r="D17" s="388"/>
      <c r="E17" s="388" t="s">
        <v>555</v>
      </c>
      <c r="F17" s="388"/>
      <c r="G17" s="388"/>
      <c r="H17" s="388" t="s">
        <v>555</v>
      </c>
      <c r="I17" s="390" t="s">
        <v>556</v>
      </c>
      <c r="J17" s="388"/>
      <c r="K17" s="546"/>
      <c r="L17" s="546"/>
      <c r="M17" s="388"/>
      <c r="N17" s="389"/>
      <c r="O17" s="388"/>
      <c r="P17" s="388" t="s">
        <v>555</v>
      </c>
      <c r="Q17" s="388"/>
      <c r="R17" s="388"/>
      <c r="S17" s="388" t="s">
        <v>555</v>
      </c>
      <c r="T17" s="390" t="s">
        <v>556</v>
      </c>
      <c r="U17" s="388"/>
      <c r="V17" s="546"/>
      <c r="W17" s="546"/>
      <c r="X17" s="388"/>
      <c r="Y17" s="389"/>
      <c r="Z17" s="546"/>
      <c r="AA17" s="548"/>
    </row>
    <row r="18" spans="1:27" s="360" customFormat="1" ht="17.25" customHeight="1">
      <c r="A18" s="377" t="s">
        <v>10</v>
      </c>
      <c r="B18" s="378" t="s">
        <v>11</v>
      </c>
      <c r="C18" s="379"/>
      <c r="D18" s="379">
        <f t="shared" ref="D18:X18" si="0">C18+1</f>
        <v>1</v>
      </c>
      <c r="E18" s="379">
        <f t="shared" si="0"/>
        <v>2</v>
      </c>
      <c r="F18" s="379">
        <f t="shared" si="0"/>
        <v>3</v>
      </c>
      <c r="G18" s="379">
        <f t="shared" si="0"/>
        <v>4</v>
      </c>
      <c r="H18" s="379">
        <f t="shared" si="0"/>
        <v>5</v>
      </c>
      <c r="I18" s="379">
        <f t="shared" si="0"/>
        <v>6</v>
      </c>
      <c r="J18" s="379">
        <f t="shared" si="0"/>
        <v>7</v>
      </c>
      <c r="K18" s="379">
        <f t="shared" si="0"/>
        <v>8</v>
      </c>
      <c r="L18" s="379">
        <f t="shared" si="0"/>
        <v>9</v>
      </c>
      <c r="M18" s="379">
        <f t="shared" si="0"/>
        <v>10</v>
      </c>
      <c r="N18" s="379">
        <f t="shared" si="0"/>
        <v>11</v>
      </c>
      <c r="O18" s="379">
        <f t="shared" si="0"/>
        <v>12</v>
      </c>
      <c r="P18" s="379">
        <f t="shared" si="0"/>
        <v>13</v>
      </c>
      <c r="Q18" s="379">
        <f t="shared" si="0"/>
        <v>14</v>
      </c>
      <c r="R18" s="379">
        <f t="shared" si="0"/>
        <v>15</v>
      </c>
      <c r="S18" s="379">
        <f t="shared" si="0"/>
        <v>16</v>
      </c>
      <c r="T18" s="379">
        <f t="shared" si="0"/>
        <v>17</v>
      </c>
      <c r="U18" s="379">
        <f t="shared" si="0"/>
        <v>18</v>
      </c>
      <c r="V18" s="379">
        <f t="shared" si="0"/>
        <v>19</v>
      </c>
      <c r="W18" s="379">
        <f t="shared" si="0"/>
        <v>20</v>
      </c>
      <c r="X18" s="379">
        <f t="shared" si="0"/>
        <v>21</v>
      </c>
      <c r="Y18" s="380"/>
      <c r="Z18" s="380"/>
      <c r="AA18" s="380"/>
    </row>
    <row r="19" spans="1:27" s="393" customFormat="1" ht="24" customHeight="1">
      <c r="A19" s="394"/>
      <c r="B19" s="395" t="s">
        <v>75</v>
      </c>
      <c r="C19" s="396">
        <f>SUM(C20:C22)</f>
        <v>67837352000</v>
      </c>
      <c r="D19" s="396">
        <f t="shared" ref="D19:X19" si="1">SUM(D20:D22)</f>
        <v>530000000</v>
      </c>
      <c r="E19" s="396">
        <f t="shared" si="1"/>
        <v>0</v>
      </c>
      <c r="F19" s="396">
        <f t="shared" si="1"/>
        <v>0</v>
      </c>
      <c r="G19" s="396">
        <f t="shared" si="1"/>
        <v>25537352000</v>
      </c>
      <c r="H19" s="396">
        <f t="shared" si="1"/>
        <v>0</v>
      </c>
      <c r="I19" s="396">
        <f t="shared" si="1"/>
        <v>0</v>
      </c>
      <c r="J19" s="396">
        <f t="shared" si="1"/>
        <v>41770000000</v>
      </c>
      <c r="K19" s="396">
        <f t="shared" si="1"/>
        <v>0</v>
      </c>
      <c r="L19" s="396">
        <f t="shared" si="1"/>
        <v>41770000000</v>
      </c>
      <c r="M19" s="396">
        <f t="shared" si="1"/>
        <v>0</v>
      </c>
      <c r="N19" s="396">
        <f>SUM(N20:N22)</f>
        <v>106289102230</v>
      </c>
      <c r="O19" s="396">
        <f t="shared" si="1"/>
        <v>104570000</v>
      </c>
      <c r="P19" s="396">
        <f t="shared" si="1"/>
        <v>0</v>
      </c>
      <c r="Q19" s="396">
        <f t="shared" si="1"/>
        <v>0</v>
      </c>
      <c r="R19" s="396">
        <f t="shared" si="1"/>
        <v>25414837740</v>
      </c>
      <c r="S19" s="396">
        <f t="shared" si="1"/>
        <v>0</v>
      </c>
      <c r="T19" s="396">
        <f t="shared" si="1"/>
        <v>0</v>
      </c>
      <c r="U19" s="396">
        <f t="shared" si="1"/>
        <v>23620695946</v>
      </c>
      <c r="V19" s="396">
        <f t="shared" si="1"/>
        <v>1661562456</v>
      </c>
      <c r="W19" s="396">
        <f t="shared" si="1"/>
        <v>21959133490</v>
      </c>
      <c r="X19" s="396">
        <f t="shared" si="1"/>
        <v>57148998544</v>
      </c>
      <c r="Y19" s="396">
        <f>+N19/C19%</f>
        <v>156.68226883325281</v>
      </c>
      <c r="Z19" s="396"/>
      <c r="AA19" s="396">
        <f>+(W19+R19)/(G19+L19)%</f>
        <v>70.384541691671359</v>
      </c>
    </row>
    <row r="20" spans="1:27" s="383" customFormat="1" ht="24" customHeight="1">
      <c r="A20" s="401">
        <v>1</v>
      </c>
      <c r="B20" s="398" t="s">
        <v>117</v>
      </c>
      <c r="C20" s="399">
        <f>+D20+G20+J20</f>
        <v>12470696000</v>
      </c>
      <c r="D20" s="399">
        <v>100000000</v>
      </c>
      <c r="E20" s="399"/>
      <c r="F20" s="399"/>
      <c r="G20" s="399">
        <f>12470696000-J20-D20</f>
        <v>7829696000</v>
      </c>
      <c r="H20" s="399"/>
      <c r="I20" s="399"/>
      <c r="J20" s="399">
        <f>+K20+L20</f>
        <v>4541000000</v>
      </c>
      <c r="K20" s="399"/>
      <c r="L20" s="399">
        <f>4139000000+402000000</f>
        <v>4541000000</v>
      </c>
      <c r="M20" s="399"/>
      <c r="N20" s="399">
        <f>+O20+R20+U20+X20</f>
        <v>16472200828</v>
      </c>
      <c r="O20" s="399"/>
      <c r="P20" s="399"/>
      <c r="Q20" s="399"/>
      <c r="R20" s="399">
        <f>13768449912-W20</f>
        <v>7861665640</v>
      </c>
      <c r="S20" s="399"/>
      <c r="T20" s="399"/>
      <c r="U20" s="399">
        <f>+V20+W20</f>
        <v>6110771637</v>
      </c>
      <c r="V20" s="399">
        <v>203987365</v>
      </c>
      <c r="W20" s="399">
        <f>+'61'!H16</f>
        <v>5906784272</v>
      </c>
      <c r="X20" s="399">
        <v>2499763551</v>
      </c>
      <c r="Y20" s="399">
        <f t="shared" ref="Y20:Y40" si="2">+N20/C20%</f>
        <v>132.08726143272196</v>
      </c>
      <c r="Z20" s="399"/>
      <c r="AA20" s="399">
        <f t="shared" ref="AA20:AA40" si="3">+(W20+R20)/(G20+L20)%</f>
        <v>111.29891084543667</v>
      </c>
    </row>
    <row r="21" spans="1:27" s="383" customFormat="1" ht="24" customHeight="1">
      <c r="A21" s="401">
        <f>A20+1</f>
        <v>2</v>
      </c>
      <c r="B21" s="398" t="s">
        <v>118</v>
      </c>
      <c r="C21" s="399">
        <f t="shared" ref="C21:C40" si="4">+D21+G21+J21</f>
        <v>30132189000</v>
      </c>
      <c r="D21" s="399"/>
      <c r="E21" s="399"/>
      <c r="F21" s="399"/>
      <c r="G21" s="399">
        <f>30132189000-J21</f>
        <v>9565189000</v>
      </c>
      <c r="H21" s="399"/>
      <c r="I21" s="399"/>
      <c r="J21" s="399">
        <f>+K21+L21</f>
        <v>20567000000</v>
      </c>
      <c r="K21" s="399"/>
      <c r="L21" s="399">
        <f>19813000000+754000000</f>
        <v>20567000000</v>
      </c>
      <c r="M21" s="399"/>
      <c r="N21" s="399">
        <f t="shared" ref="N21:N40" si="5">+O21+R21+U21+X21</f>
        <v>47271160898</v>
      </c>
      <c r="O21" s="399"/>
      <c r="P21" s="399"/>
      <c r="Q21" s="399"/>
      <c r="R21" s="399">
        <f>18193356774-W21</f>
        <v>9370721561</v>
      </c>
      <c r="S21" s="399"/>
      <c r="T21" s="399"/>
      <c r="U21" s="399">
        <f>+V21+W21</f>
        <v>8881823213</v>
      </c>
      <c r="V21" s="399">
        <v>59188000</v>
      </c>
      <c r="W21" s="399">
        <f>+'61'!H17</f>
        <v>8822635213</v>
      </c>
      <c r="X21" s="399">
        <v>29018616124</v>
      </c>
      <c r="Y21" s="399">
        <f t="shared" si="2"/>
        <v>156.87927915890876</v>
      </c>
      <c r="Z21" s="399"/>
      <c r="AA21" s="399">
        <f t="shared" si="3"/>
        <v>60.378476897247658</v>
      </c>
    </row>
    <row r="22" spans="1:27" s="383" customFormat="1" ht="24" customHeight="1">
      <c r="A22" s="401">
        <f t="shared" ref="A22:A40" si="6">A21+1</f>
        <v>3</v>
      </c>
      <c r="B22" s="398" t="s">
        <v>116</v>
      </c>
      <c r="C22" s="399">
        <f t="shared" si="4"/>
        <v>25234467000</v>
      </c>
      <c r="D22" s="399">
        <v>430000000</v>
      </c>
      <c r="E22" s="399"/>
      <c r="F22" s="399"/>
      <c r="G22" s="399">
        <f>25234467000-J22-D22</f>
        <v>8142467000</v>
      </c>
      <c r="H22" s="399"/>
      <c r="I22" s="399"/>
      <c r="J22" s="399">
        <f>+K22+L22</f>
        <v>16662000000</v>
      </c>
      <c r="K22" s="399"/>
      <c r="L22" s="399">
        <f>16034000000+628000000</f>
        <v>16662000000</v>
      </c>
      <c r="M22" s="399"/>
      <c r="N22" s="399">
        <f t="shared" si="5"/>
        <v>42545740504</v>
      </c>
      <c r="O22" s="399">
        <f>1502957091-V22</f>
        <v>104570000</v>
      </c>
      <c r="P22" s="399"/>
      <c r="Q22" s="399"/>
      <c r="R22" s="399">
        <f>15412164544-W22</f>
        <v>8182450539</v>
      </c>
      <c r="S22" s="399"/>
      <c r="T22" s="399"/>
      <c r="U22" s="399">
        <f>+V22+W22</f>
        <v>8628101096</v>
      </c>
      <c r="V22" s="399">
        <v>1398387091</v>
      </c>
      <c r="W22" s="399">
        <f>+'61'!H18</f>
        <v>7229714005</v>
      </c>
      <c r="X22" s="399">
        <v>25630618869</v>
      </c>
      <c r="Y22" s="399">
        <f t="shared" si="2"/>
        <v>168.6017006184438</v>
      </c>
      <c r="Z22" s="399"/>
      <c r="AA22" s="399">
        <f t="shared" si="3"/>
        <v>62.134633023962984</v>
      </c>
    </row>
    <row r="23" spans="1:27" s="383" customFormat="1" ht="30.75" hidden="1" customHeight="1">
      <c r="A23" s="397" t="e">
        <f>#REF!+1</f>
        <v>#REF!</v>
      </c>
      <c r="B23" s="400"/>
      <c r="C23" s="399">
        <f t="shared" si="4"/>
        <v>0</v>
      </c>
      <c r="D23" s="399"/>
      <c r="E23" s="399"/>
      <c r="F23" s="399"/>
      <c r="G23" s="399"/>
      <c r="H23" s="399"/>
      <c r="I23" s="399"/>
      <c r="J23" s="399"/>
      <c r="K23" s="399"/>
      <c r="L23" s="399"/>
      <c r="M23" s="399"/>
      <c r="N23" s="399">
        <f t="shared" si="5"/>
        <v>0</v>
      </c>
      <c r="O23" s="399"/>
      <c r="P23" s="399"/>
      <c r="Q23" s="399"/>
      <c r="R23" s="399"/>
      <c r="S23" s="399"/>
      <c r="T23" s="399"/>
      <c r="U23" s="399"/>
      <c r="V23" s="399"/>
      <c r="W23" s="399"/>
      <c r="X23" s="399"/>
      <c r="Y23" s="396" t="e">
        <f t="shared" si="2"/>
        <v>#DIV/0!</v>
      </c>
      <c r="Z23" s="396" t="e">
        <f t="shared" ref="Z23:Z40" si="7">+V23+O23/(K23+D23)%</f>
        <v>#DIV/0!</v>
      </c>
      <c r="AA23" s="396" t="e">
        <f t="shared" si="3"/>
        <v>#DIV/0!</v>
      </c>
    </row>
    <row r="24" spans="1:27" s="383" customFormat="1" ht="30.75" hidden="1" customHeight="1">
      <c r="A24" s="397" t="e">
        <f t="shared" si="6"/>
        <v>#REF!</v>
      </c>
      <c r="B24" s="400"/>
      <c r="C24" s="399">
        <f t="shared" si="4"/>
        <v>0</v>
      </c>
      <c r="D24" s="399"/>
      <c r="E24" s="399"/>
      <c r="F24" s="399"/>
      <c r="G24" s="399"/>
      <c r="H24" s="399"/>
      <c r="I24" s="399"/>
      <c r="J24" s="399"/>
      <c r="K24" s="399"/>
      <c r="L24" s="399"/>
      <c r="M24" s="399"/>
      <c r="N24" s="399">
        <f t="shared" si="5"/>
        <v>0</v>
      </c>
      <c r="O24" s="399"/>
      <c r="P24" s="399"/>
      <c r="Q24" s="399"/>
      <c r="R24" s="399"/>
      <c r="S24" s="399"/>
      <c r="T24" s="399"/>
      <c r="U24" s="399"/>
      <c r="V24" s="399"/>
      <c r="W24" s="399"/>
      <c r="X24" s="399"/>
      <c r="Y24" s="396" t="e">
        <f t="shared" si="2"/>
        <v>#DIV/0!</v>
      </c>
      <c r="Z24" s="396" t="e">
        <f t="shared" si="7"/>
        <v>#DIV/0!</v>
      </c>
      <c r="AA24" s="396" t="e">
        <f t="shared" si="3"/>
        <v>#DIV/0!</v>
      </c>
    </row>
    <row r="25" spans="1:27" s="383" customFormat="1" ht="30.75" hidden="1" customHeight="1">
      <c r="A25" s="397" t="e">
        <f t="shared" si="6"/>
        <v>#REF!</v>
      </c>
      <c r="B25" s="400"/>
      <c r="C25" s="399">
        <f t="shared" si="4"/>
        <v>0</v>
      </c>
      <c r="D25" s="399"/>
      <c r="E25" s="399"/>
      <c r="F25" s="399"/>
      <c r="G25" s="399"/>
      <c r="H25" s="399"/>
      <c r="I25" s="399"/>
      <c r="J25" s="399"/>
      <c r="K25" s="399"/>
      <c r="L25" s="399"/>
      <c r="M25" s="399"/>
      <c r="N25" s="399">
        <f t="shared" si="5"/>
        <v>0</v>
      </c>
      <c r="O25" s="399"/>
      <c r="P25" s="399"/>
      <c r="Q25" s="399"/>
      <c r="R25" s="399"/>
      <c r="S25" s="399"/>
      <c r="T25" s="399"/>
      <c r="U25" s="399"/>
      <c r="V25" s="399"/>
      <c r="W25" s="399"/>
      <c r="X25" s="399"/>
      <c r="Y25" s="396" t="e">
        <f t="shared" si="2"/>
        <v>#DIV/0!</v>
      </c>
      <c r="Z25" s="396" t="e">
        <f t="shared" si="7"/>
        <v>#DIV/0!</v>
      </c>
      <c r="AA25" s="396" t="e">
        <f t="shared" si="3"/>
        <v>#DIV/0!</v>
      </c>
    </row>
    <row r="26" spans="1:27" s="383" customFormat="1" ht="30.75" hidden="1" customHeight="1">
      <c r="A26" s="397" t="e">
        <f t="shared" si="6"/>
        <v>#REF!</v>
      </c>
      <c r="B26" s="400"/>
      <c r="C26" s="399">
        <f t="shared" si="4"/>
        <v>0</v>
      </c>
      <c r="D26" s="399"/>
      <c r="E26" s="399"/>
      <c r="F26" s="399"/>
      <c r="G26" s="399"/>
      <c r="H26" s="399"/>
      <c r="I26" s="399"/>
      <c r="J26" s="399"/>
      <c r="K26" s="399"/>
      <c r="L26" s="399"/>
      <c r="M26" s="399"/>
      <c r="N26" s="399">
        <f t="shared" si="5"/>
        <v>0</v>
      </c>
      <c r="O26" s="399"/>
      <c r="P26" s="399"/>
      <c r="Q26" s="399"/>
      <c r="R26" s="399"/>
      <c r="S26" s="399"/>
      <c r="T26" s="399"/>
      <c r="U26" s="399"/>
      <c r="V26" s="399"/>
      <c r="W26" s="399"/>
      <c r="X26" s="399"/>
      <c r="Y26" s="396" t="e">
        <f t="shared" si="2"/>
        <v>#DIV/0!</v>
      </c>
      <c r="Z26" s="396" t="e">
        <f t="shared" si="7"/>
        <v>#DIV/0!</v>
      </c>
      <c r="AA26" s="396" t="e">
        <f t="shared" si="3"/>
        <v>#DIV/0!</v>
      </c>
    </row>
    <row r="27" spans="1:27" s="383" customFormat="1" ht="30.75" hidden="1" customHeight="1">
      <c r="A27" s="397" t="e">
        <f t="shared" si="6"/>
        <v>#REF!</v>
      </c>
      <c r="B27" s="400"/>
      <c r="C27" s="399">
        <f t="shared" si="4"/>
        <v>0</v>
      </c>
      <c r="D27" s="399"/>
      <c r="E27" s="399"/>
      <c r="F27" s="399"/>
      <c r="G27" s="399"/>
      <c r="H27" s="399"/>
      <c r="I27" s="399"/>
      <c r="J27" s="399"/>
      <c r="K27" s="399"/>
      <c r="L27" s="399"/>
      <c r="M27" s="399"/>
      <c r="N27" s="399">
        <f t="shared" si="5"/>
        <v>0</v>
      </c>
      <c r="O27" s="399"/>
      <c r="P27" s="399"/>
      <c r="Q27" s="399"/>
      <c r="R27" s="399"/>
      <c r="S27" s="399"/>
      <c r="T27" s="399"/>
      <c r="U27" s="399"/>
      <c r="V27" s="399"/>
      <c r="W27" s="399"/>
      <c r="X27" s="399"/>
      <c r="Y27" s="396" t="e">
        <f t="shared" si="2"/>
        <v>#DIV/0!</v>
      </c>
      <c r="Z27" s="396" t="e">
        <f t="shared" si="7"/>
        <v>#DIV/0!</v>
      </c>
      <c r="AA27" s="396" t="e">
        <f t="shared" si="3"/>
        <v>#DIV/0!</v>
      </c>
    </row>
    <row r="28" spans="1:27" s="383" customFormat="1" ht="30.75" hidden="1" customHeight="1">
      <c r="A28" s="397" t="e">
        <f t="shared" si="6"/>
        <v>#REF!</v>
      </c>
      <c r="B28" s="400"/>
      <c r="C28" s="399">
        <f t="shared" si="4"/>
        <v>0</v>
      </c>
      <c r="D28" s="399"/>
      <c r="E28" s="399"/>
      <c r="F28" s="399"/>
      <c r="G28" s="399"/>
      <c r="H28" s="399"/>
      <c r="I28" s="399"/>
      <c r="J28" s="399"/>
      <c r="K28" s="399"/>
      <c r="L28" s="399"/>
      <c r="M28" s="399"/>
      <c r="N28" s="399">
        <f t="shared" si="5"/>
        <v>0</v>
      </c>
      <c r="O28" s="399"/>
      <c r="P28" s="399"/>
      <c r="Q28" s="399"/>
      <c r="R28" s="399"/>
      <c r="S28" s="399"/>
      <c r="T28" s="399"/>
      <c r="U28" s="399"/>
      <c r="V28" s="399"/>
      <c r="W28" s="399"/>
      <c r="X28" s="399"/>
      <c r="Y28" s="396" t="e">
        <f t="shared" si="2"/>
        <v>#DIV/0!</v>
      </c>
      <c r="Z28" s="396" t="e">
        <f t="shared" si="7"/>
        <v>#DIV/0!</v>
      </c>
      <c r="AA28" s="396" t="e">
        <f t="shared" si="3"/>
        <v>#DIV/0!</v>
      </c>
    </row>
    <row r="29" spans="1:27" s="383" customFormat="1" ht="30.75" hidden="1" customHeight="1">
      <c r="A29" s="397" t="e">
        <f t="shared" si="6"/>
        <v>#REF!</v>
      </c>
      <c r="B29" s="400"/>
      <c r="C29" s="399">
        <f t="shared" si="4"/>
        <v>0</v>
      </c>
      <c r="D29" s="399"/>
      <c r="E29" s="399"/>
      <c r="F29" s="399"/>
      <c r="G29" s="399"/>
      <c r="H29" s="399"/>
      <c r="I29" s="399"/>
      <c r="J29" s="399"/>
      <c r="K29" s="399"/>
      <c r="L29" s="399"/>
      <c r="M29" s="399"/>
      <c r="N29" s="399">
        <f t="shared" si="5"/>
        <v>0</v>
      </c>
      <c r="O29" s="399"/>
      <c r="P29" s="399"/>
      <c r="Q29" s="399"/>
      <c r="R29" s="399"/>
      <c r="S29" s="399"/>
      <c r="T29" s="399"/>
      <c r="U29" s="399"/>
      <c r="V29" s="399"/>
      <c r="W29" s="399"/>
      <c r="X29" s="399"/>
      <c r="Y29" s="396" t="e">
        <f t="shared" si="2"/>
        <v>#DIV/0!</v>
      </c>
      <c r="Z29" s="396" t="e">
        <f t="shared" si="7"/>
        <v>#DIV/0!</v>
      </c>
      <c r="AA29" s="396" t="e">
        <f t="shared" si="3"/>
        <v>#DIV/0!</v>
      </c>
    </row>
    <row r="30" spans="1:27" s="383" customFormat="1" ht="30.75" hidden="1" customHeight="1">
      <c r="A30" s="397" t="e">
        <f t="shared" si="6"/>
        <v>#REF!</v>
      </c>
      <c r="B30" s="400"/>
      <c r="C30" s="399">
        <f t="shared" si="4"/>
        <v>0</v>
      </c>
      <c r="D30" s="399"/>
      <c r="E30" s="399"/>
      <c r="F30" s="399"/>
      <c r="G30" s="399"/>
      <c r="H30" s="399"/>
      <c r="I30" s="399"/>
      <c r="J30" s="399"/>
      <c r="K30" s="399"/>
      <c r="L30" s="399"/>
      <c r="M30" s="399"/>
      <c r="N30" s="399">
        <f t="shared" si="5"/>
        <v>0</v>
      </c>
      <c r="O30" s="399"/>
      <c r="P30" s="399"/>
      <c r="Q30" s="399"/>
      <c r="R30" s="399"/>
      <c r="S30" s="399"/>
      <c r="T30" s="399"/>
      <c r="U30" s="399"/>
      <c r="V30" s="399"/>
      <c r="W30" s="399"/>
      <c r="X30" s="399"/>
      <c r="Y30" s="396" t="e">
        <f t="shared" si="2"/>
        <v>#DIV/0!</v>
      </c>
      <c r="Z30" s="396" t="e">
        <f t="shared" si="7"/>
        <v>#DIV/0!</v>
      </c>
      <c r="AA30" s="396" t="e">
        <f t="shared" si="3"/>
        <v>#DIV/0!</v>
      </c>
    </row>
    <row r="31" spans="1:27" s="383" customFormat="1" ht="30.75" hidden="1" customHeight="1">
      <c r="A31" s="397" t="e">
        <f t="shared" si="6"/>
        <v>#REF!</v>
      </c>
      <c r="B31" s="400"/>
      <c r="C31" s="399">
        <f t="shared" si="4"/>
        <v>0</v>
      </c>
      <c r="D31" s="399"/>
      <c r="E31" s="399"/>
      <c r="F31" s="399"/>
      <c r="G31" s="399"/>
      <c r="H31" s="399"/>
      <c r="I31" s="399"/>
      <c r="J31" s="399"/>
      <c r="K31" s="399"/>
      <c r="L31" s="399"/>
      <c r="M31" s="399"/>
      <c r="N31" s="399">
        <f t="shared" si="5"/>
        <v>0</v>
      </c>
      <c r="O31" s="399"/>
      <c r="P31" s="399"/>
      <c r="Q31" s="399"/>
      <c r="R31" s="399"/>
      <c r="S31" s="399"/>
      <c r="T31" s="399"/>
      <c r="U31" s="399"/>
      <c r="V31" s="399"/>
      <c r="W31" s="399"/>
      <c r="X31" s="399"/>
      <c r="Y31" s="396" t="e">
        <f t="shared" si="2"/>
        <v>#DIV/0!</v>
      </c>
      <c r="Z31" s="396" t="e">
        <f t="shared" si="7"/>
        <v>#DIV/0!</v>
      </c>
      <c r="AA31" s="396" t="e">
        <f t="shared" si="3"/>
        <v>#DIV/0!</v>
      </c>
    </row>
    <row r="32" spans="1:27" s="383" customFormat="1" ht="30.75" hidden="1" customHeight="1">
      <c r="A32" s="397" t="e">
        <f t="shared" si="6"/>
        <v>#REF!</v>
      </c>
      <c r="B32" s="400"/>
      <c r="C32" s="399">
        <f t="shared" si="4"/>
        <v>0</v>
      </c>
      <c r="D32" s="399"/>
      <c r="E32" s="399"/>
      <c r="F32" s="399"/>
      <c r="G32" s="399"/>
      <c r="H32" s="399"/>
      <c r="I32" s="399"/>
      <c r="J32" s="399"/>
      <c r="K32" s="399"/>
      <c r="L32" s="399"/>
      <c r="M32" s="399"/>
      <c r="N32" s="399">
        <f t="shared" si="5"/>
        <v>0</v>
      </c>
      <c r="O32" s="399"/>
      <c r="P32" s="399"/>
      <c r="Q32" s="399"/>
      <c r="R32" s="399"/>
      <c r="S32" s="399"/>
      <c r="T32" s="399"/>
      <c r="U32" s="399"/>
      <c r="V32" s="399"/>
      <c r="W32" s="399"/>
      <c r="X32" s="399"/>
      <c r="Y32" s="396" t="e">
        <f t="shared" si="2"/>
        <v>#DIV/0!</v>
      </c>
      <c r="Z32" s="396" t="e">
        <f t="shared" si="7"/>
        <v>#DIV/0!</v>
      </c>
      <c r="AA32" s="396" t="e">
        <f t="shared" si="3"/>
        <v>#DIV/0!</v>
      </c>
    </row>
    <row r="33" spans="1:27" s="383" customFormat="1" ht="30.75" hidden="1" customHeight="1">
      <c r="A33" s="397" t="e">
        <f t="shared" si="6"/>
        <v>#REF!</v>
      </c>
      <c r="B33" s="400"/>
      <c r="C33" s="399">
        <f t="shared" si="4"/>
        <v>0</v>
      </c>
      <c r="D33" s="399"/>
      <c r="E33" s="399"/>
      <c r="F33" s="399"/>
      <c r="G33" s="399"/>
      <c r="H33" s="399"/>
      <c r="I33" s="399"/>
      <c r="J33" s="399"/>
      <c r="K33" s="399"/>
      <c r="L33" s="399"/>
      <c r="M33" s="399"/>
      <c r="N33" s="399">
        <f t="shared" si="5"/>
        <v>0</v>
      </c>
      <c r="O33" s="399"/>
      <c r="P33" s="399"/>
      <c r="Q33" s="399"/>
      <c r="R33" s="399"/>
      <c r="S33" s="399"/>
      <c r="T33" s="399"/>
      <c r="U33" s="399"/>
      <c r="V33" s="399"/>
      <c r="W33" s="399"/>
      <c r="X33" s="399"/>
      <c r="Y33" s="396" t="e">
        <f t="shared" si="2"/>
        <v>#DIV/0!</v>
      </c>
      <c r="Z33" s="396" t="e">
        <f t="shared" si="7"/>
        <v>#DIV/0!</v>
      </c>
      <c r="AA33" s="396" t="e">
        <f t="shared" si="3"/>
        <v>#DIV/0!</v>
      </c>
    </row>
    <row r="34" spans="1:27" s="383" customFormat="1" ht="30.75" hidden="1" customHeight="1">
      <c r="A34" s="397" t="e">
        <f t="shared" si="6"/>
        <v>#REF!</v>
      </c>
      <c r="B34" s="400"/>
      <c r="C34" s="399">
        <f t="shared" si="4"/>
        <v>0</v>
      </c>
      <c r="D34" s="399"/>
      <c r="E34" s="399"/>
      <c r="F34" s="399"/>
      <c r="G34" s="399"/>
      <c r="H34" s="399"/>
      <c r="I34" s="399"/>
      <c r="J34" s="399"/>
      <c r="K34" s="399"/>
      <c r="L34" s="399"/>
      <c r="M34" s="399"/>
      <c r="N34" s="399">
        <f t="shared" si="5"/>
        <v>0</v>
      </c>
      <c r="O34" s="399"/>
      <c r="P34" s="399"/>
      <c r="Q34" s="399"/>
      <c r="R34" s="399"/>
      <c r="S34" s="399"/>
      <c r="T34" s="399"/>
      <c r="U34" s="399"/>
      <c r="V34" s="399"/>
      <c r="W34" s="399"/>
      <c r="X34" s="399"/>
      <c r="Y34" s="396" t="e">
        <f t="shared" si="2"/>
        <v>#DIV/0!</v>
      </c>
      <c r="Z34" s="396" t="e">
        <f t="shared" si="7"/>
        <v>#DIV/0!</v>
      </c>
      <c r="AA34" s="396" t="e">
        <f t="shared" si="3"/>
        <v>#DIV/0!</v>
      </c>
    </row>
    <row r="35" spans="1:27" s="383" customFormat="1" ht="30.75" hidden="1" customHeight="1">
      <c r="A35" s="397" t="e">
        <f t="shared" si="6"/>
        <v>#REF!</v>
      </c>
      <c r="B35" s="400"/>
      <c r="C35" s="399">
        <f t="shared" si="4"/>
        <v>0</v>
      </c>
      <c r="D35" s="399"/>
      <c r="E35" s="399"/>
      <c r="F35" s="399"/>
      <c r="G35" s="399"/>
      <c r="H35" s="399"/>
      <c r="I35" s="399"/>
      <c r="J35" s="399"/>
      <c r="K35" s="399"/>
      <c r="L35" s="399"/>
      <c r="M35" s="399"/>
      <c r="N35" s="399">
        <f t="shared" si="5"/>
        <v>0</v>
      </c>
      <c r="O35" s="399"/>
      <c r="P35" s="399"/>
      <c r="Q35" s="399"/>
      <c r="R35" s="399"/>
      <c r="S35" s="399"/>
      <c r="T35" s="399"/>
      <c r="U35" s="399"/>
      <c r="V35" s="399"/>
      <c r="W35" s="399"/>
      <c r="X35" s="399"/>
      <c r="Y35" s="396" t="e">
        <f t="shared" si="2"/>
        <v>#DIV/0!</v>
      </c>
      <c r="Z35" s="396" t="e">
        <f t="shared" si="7"/>
        <v>#DIV/0!</v>
      </c>
      <c r="AA35" s="396" t="e">
        <f t="shared" si="3"/>
        <v>#DIV/0!</v>
      </c>
    </row>
    <row r="36" spans="1:27" s="383" customFormat="1" ht="30.75" hidden="1" customHeight="1">
      <c r="A36" s="397" t="e">
        <f t="shared" si="6"/>
        <v>#REF!</v>
      </c>
      <c r="B36" s="400"/>
      <c r="C36" s="399">
        <f t="shared" si="4"/>
        <v>0</v>
      </c>
      <c r="D36" s="399"/>
      <c r="E36" s="399"/>
      <c r="F36" s="399"/>
      <c r="G36" s="399"/>
      <c r="H36" s="399"/>
      <c r="I36" s="399"/>
      <c r="J36" s="399"/>
      <c r="K36" s="399"/>
      <c r="L36" s="399"/>
      <c r="M36" s="399"/>
      <c r="N36" s="399">
        <f t="shared" si="5"/>
        <v>0</v>
      </c>
      <c r="O36" s="399"/>
      <c r="P36" s="399"/>
      <c r="Q36" s="399"/>
      <c r="R36" s="399"/>
      <c r="S36" s="399"/>
      <c r="T36" s="399"/>
      <c r="U36" s="399"/>
      <c r="V36" s="399"/>
      <c r="W36" s="399"/>
      <c r="X36" s="399"/>
      <c r="Y36" s="396" t="e">
        <f t="shared" si="2"/>
        <v>#DIV/0!</v>
      </c>
      <c r="Z36" s="396" t="e">
        <f t="shared" si="7"/>
        <v>#DIV/0!</v>
      </c>
      <c r="AA36" s="396" t="e">
        <f t="shared" si="3"/>
        <v>#DIV/0!</v>
      </c>
    </row>
    <row r="37" spans="1:27" s="383" customFormat="1" ht="30.75" hidden="1" customHeight="1">
      <c r="A37" s="397" t="e">
        <f t="shared" si="6"/>
        <v>#REF!</v>
      </c>
      <c r="B37" s="400"/>
      <c r="C37" s="399">
        <f t="shared" si="4"/>
        <v>0</v>
      </c>
      <c r="D37" s="399"/>
      <c r="E37" s="399"/>
      <c r="F37" s="399"/>
      <c r="G37" s="399"/>
      <c r="H37" s="399"/>
      <c r="I37" s="399"/>
      <c r="J37" s="399"/>
      <c r="K37" s="399"/>
      <c r="L37" s="399"/>
      <c r="M37" s="399"/>
      <c r="N37" s="399">
        <f t="shared" si="5"/>
        <v>0</v>
      </c>
      <c r="O37" s="399"/>
      <c r="P37" s="399"/>
      <c r="Q37" s="399"/>
      <c r="R37" s="399"/>
      <c r="S37" s="399"/>
      <c r="T37" s="399"/>
      <c r="U37" s="399"/>
      <c r="V37" s="399"/>
      <c r="W37" s="399"/>
      <c r="X37" s="399"/>
      <c r="Y37" s="396" t="e">
        <f t="shared" si="2"/>
        <v>#DIV/0!</v>
      </c>
      <c r="Z37" s="396" t="e">
        <f t="shared" si="7"/>
        <v>#DIV/0!</v>
      </c>
      <c r="AA37" s="396" t="e">
        <f t="shared" si="3"/>
        <v>#DIV/0!</v>
      </c>
    </row>
    <row r="38" spans="1:27" s="383" customFormat="1" ht="30.75" hidden="1" customHeight="1">
      <c r="A38" s="397" t="e">
        <f t="shared" si="6"/>
        <v>#REF!</v>
      </c>
      <c r="B38" s="400"/>
      <c r="C38" s="399">
        <f t="shared" si="4"/>
        <v>0</v>
      </c>
      <c r="D38" s="399"/>
      <c r="E38" s="399"/>
      <c r="F38" s="399"/>
      <c r="G38" s="399"/>
      <c r="H38" s="399"/>
      <c r="I38" s="399"/>
      <c r="J38" s="399"/>
      <c r="K38" s="399"/>
      <c r="L38" s="399"/>
      <c r="M38" s="399"/>
      <c r="N38" s="399">
        <f t="shared" si="5"/>
        <v>0</v>
      </c>
      <c r="O38" s="399"/>
      <c r="P38" s="399"/>
      <c r="Q38" s="399"/>
      <c r="R38" s="399"/>
      <c r="S38" s="399"/>
      <c r="T38" s="399"/>
      <c r="U38" s="399"/>
      <c r="V38" s="399"/>
      <c r="W38" s="399"/>
      <c r="X38" s="399"/>
      <c r="Y38" s="396" t="e">
        <f t="shared" si="2"/>
        <v>#DIV/0!</v>
      </c>
      <c r="Z38" s="396" t="e">
        <f t="shared" si="7"/>
        <v>#DIV/0!</v>
      </c>
      <c r="AA38" s="396" t="e">
        <f t="shared" si="3"/>
        <v>#DIV/0!</v>
      </c>
    </row>
    <row r="39" spans="1:27" s="383" customFormat="1" ht="30.75" hidden="1" customHeight="1">
      <c r="A39" s="397" t="e">
        <f t="shared" si="6"/>
        <v>#REF!</v>
      </c>
      <c r="B39" s="400"/>
      <c r="C39" s="399">
        <f t="shared" si="4"/>
        <v>0</v>
      </c>
      <c r="D39" s="399"/>
      <c r="E39" s="399"/>
      <c r="F39" s="399"/>
      <c r="G39" s="399"/>
      <c r="H39" s="399"/>
      <c r="I39" s="399"/>
      <c r="J39" s="399"/>
      <c r="K39" s="399"/>
      <c r="L39" s="399"/>
      <c r="M39" s="399"/>
      <c r="N39" s="399">
        <f t="shared" si="5"/>
        <v>0</v>
      </c>
      <c r="O39" s="399"/>
      <c r="P39" s="399"/>
      <c r="Q39" s="399"/>
      <c r="R39" s="399"/>
      <c r="S39" s="399"/>
      <c r="T39" s="399"/>
      <c r="U39" s="399"/>
      <c r="V39" s="399"/>
      <c r="W39" s="399"/>
      <c r="X39" s="399"/>
      <c r="Y39" s="396" t="e">
        <f t="shared" si="2"/>
        <v>#DIV/0!</v>
      </c>
      <c r="Z39" s="396" t="e">
        <f t="shared" si="7"/>
        <v>#DIV/0!</v>
      </c>
      <c r="AA39" s="396" t="e">
        <f t="shared" si="3"/>
        <v>#DIV/0!</v>
      </c>
    </row>
    <row r="40" spans="1:27" s="383" customFormat="1" ht="30.75" hidden="1" customHeight="1">
      <c r="A40" s="397" t="e">
        <f t="shared" si="6"/>
        <v>#REF!</v>
      </c>
      <c r="B40" s="400"/>
      <c r="C40" s="399">
        <f t="shared" si="4"/>
        <v>0</v>
      </c>
      <c r="D40" s="399"/>
      <c r="E40" s="399"/>
      <c r="F40" s="399"/>
      <c r="G40" s="399"/>
      <c r="H40" s="399"/>
      <c r="I40" s="399"/>
      <c r="J40" s="399"/>
      <c r="K40" s="399"/>
      <c r="L40" s="399"/>
      <c r="M40" s="399"/>
      <c r="N40" s="399">
        <f t="shared" si="5"/>
        <v>0</v>
      </c>
      <c r="O40" s="399"/>
      <c r="P40" s="399"/>
      <c r="Q40" s="399"/>
      <c r="R40" s="399"/>
      <c r="S40" s="399"/>
      <c r="T40" s="399"/>
      <c r="U40" s="399"/>
      <c r="V40" s="399"/>
      <c r="W40" s="399"/>
      <c r="X40" s="399"/>
      <c r="Y40" s="396" t="e">
        <f t="shared" si="2"/>
        <v>#DIV/0!</v>
      </c>
      <c r="Z40" s="396" t="e">
        <f t="shared" si="7"/>
        <v>#DIV/0!</v>
      </c>
      <c r="AA40" s="396" t="e">
        <f t="shared" si="3"/>
        <v>#DIV/0!</v>
      </c>
    </row>
    <row r="41" spans="1:27" s="383" customFormat="1" ht="16" customHeight="1">
      <c r="A41" s="400"/>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row>
    <row r="42" spans="1:27" s="383" customFormat="1" ht="24.75" customHeight="1">
      <c r="A42" s="391"/>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row>
    <row r="43" spans="1:27" ht="15.75" customHeight="1">
      <c r="A43" s="381"/>
      <c r="B43" s="381"/>
      <c r="C43" s="382"/>
      <c r="D43" s="382"/>
      <c r="E43" s="382"/>
      <c r="F43" s="382"/>
      <c r="G43" s="382"/>
      <c r="H43" s="382"/>
      <c r="I43" s="382"/>
      <c r="J43" s="382"/>
      <c r="K43" s="382"/>
      <c r="L43" s="382"/>
      <c r="M43" s="382"/>
      <c r="N43" s="382"/>
      <c r="O43" s="382"/>
      <c r="P43" s="382"/>
      <c r="Q43" s="382"/>
      <c r="R43" s="382"/>
      <c r="S43" s="382"/>
      <c r="T43" s="382"/>
      <c r="U43" s="402"/>
      <c r="V43" s="382"/>
      <c r="W43" s="382"/>
      <c r="X43" s="382"/>
      <c r="Y43" s="382"/>
      <c r="Z43" s="382"/>
      <c r="AA43" s="382"/>
    </row>
    <row r="44" spans="1:27" ht="15.75" customHeight="1">
      <c r="A44" s="381"/>
      <c r="B44" s="381"/>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row>
    <row r="45" spans="1:27" ht="19.5" customHeight="1">
      <c r="A45" s="361"/>
      <c r="B45" s="357"/>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row>
    <row r="46" spans="1:27" ht="18">
      <c r="A46" s="358"/>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row>
    <row r="47" spans="1:27" ht="18">
      <c r="A47" s="358"/>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row>
    <row r="48" spans="1:27" ht="18">
      <c r="A48" s="381"/>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row>
    <row r="49" spans="1:27" ht="18">
      <c r="A49" s="358"/>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row>
    <row r="50" spans="1:27" ht="18">
      <c r="A50" s="358"/>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row>
    <row r="51" spans="1:27" ht="18">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row>
    <row r="52" spans="1:27" ht="18">
      <c r="A52" s="358"/>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row>
    <row r="53" spans="1:27" ht="18">
      <c r="A53" s="358"/>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row>
    <row r="54" spans="1:27" ht="18">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row>
    <row r="55" spans="1:27" ht="18">
      <c r="A55" s="358"/>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row>
    <row r="56" spans="1:27" ht="22.5" customHeight="1">
      <c r="A56" s="358"/>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row>
    <row r="57" spans="1:27" ht="18">
      <c r="A57" s="358"/>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row>
    <row r="58" spans="1:27" ht="18">
      <c r="A58" s="358"/>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row>
    <row r="59" spans="1:27" ht="18">
      <c r="A59" s="358"/>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row>
    <row r="60" spans="1:27" ht="18">
      <c r="A60" s="358"/>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row>
  </sheetData>
  <mergeCells count="27">
    <mergeCell ref="K11:K17"/>
    <mergeCell ref="L11:L17"/>
    <mergeCell ref="A8:A17"/>
    <mergeCell ref="B8:B17"/>
    <mergeCell ref="S10:T10"/>
    <mergeCell ref="E10:F10"/>
    <mergeCell ref="S7:T7"/>
    <mergeCell ref="U7:AA7"/>
    <mergeCell ref="N8:X8"/>
    <mergeCell ref="A4:AA4"/>
    <mergeCell ref="H10:I10"/>
    <mergeCell ref="K10:L10"/>
    <mergeCell ref="V10:W10"/>
    <mergeCell ref="H7:I7"/>
    <mergeCell ref="C8:M8"/>
    <mergeCell ref="D9:F9"/>
    <mergeCell ref="G9:I9"/>
    <mergeCell ref="J9:L9"/>
    <mergeCell ref="Y8:AA8"/>
    <mergeCell ref="O9:Q9"/>
    <mergeCell ref="R9:T9"/>
    <mergeCell ref="U9:W9"/>
    <mergeCell ref="Z9:Z17"/>
    <mergeCell ref="AA9:AA17"/>
    <mergeCell ref="P10:Q10"/>
    <mergeCell ref="W11:W17"/>
    <mergeCell ref="V11:V17"/>
  </mergeCells>
  <printOptions horizontalCentered="1"/>
  <pageMargins left="0.78740157480314965" right="0.78740157480314965" top="0.78740157480314965" bottom="0.78740157480314965" header="0.43307086614173229" footer="0.15748031496062992"/>
  <pageSetup paperSize="9" scale="34" fitToHeight="0" orientation="landscape" r:id="rId1"/>
  <headerFooter alignWithMargins="0">
    <oddHeader>&amp;C&amp;"Times New Roman,Regular"62</oddHeader>
    <oddFooter xml:space="preserve">&amp;C&amp;".VnTime,Italic"&amp;8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L25"/>
  <sheetViews>
    <sheetView view="pageBreakPreview" zoomScale="60" zoomScaleNormal="100" workbookViewId="0">
      <selection activeCell="A4" sqref="A4:K4"/>
    </sheetView>
  </sheetViews>
  <sheetFormatPr defaultColWidth="8.81640625" defaultRowHeight="12.5"/>
  <cols>
    <col min="1" max="1" width="4.26953125" style="3" customWidth="1"/>
    <col min="2" max="2" width="21.81640625" style="3" customWidth="1"/>
    <col min="3" max="3" width="17.7265625" style="39" customWidth="1"/>
    <col min="4" max="4" width="16.54296875" style="39" customWidth="1"/>
    <col min="5" max="5" width="18.26953125" style="39" customWidth="1"/>
    <col min="6" max="6" width="17.453125" style="39" customWidth="1"/>
    <col min="7" max="7" width="17.26953125" style="39" customWidth="1"/>
    <col min="8" max="8" width="16.1796875" style="39" customWidth="1"/>
    <col min="9" max="9" width="13.26953125" style="39" customWidth="1"/>
    <col min="10" max="10" width="17.1796875" style="39" customWidth="1"/>
    <col min="11" max="11" width="11.54296875" style="3" customWidth="1"/>
    <col min="12" max="12" width="16.54296875" style="3" bestFit="1" customWidth="1"/>
    <col min="13" max="16384" width="8.81640625" style="3"/>
  </cols>
  <sheetData>
    <row r="1" spans="1:12" ht="18.75" customHeight="1">
      <c r="A1" s="576"/>
      <c r="B1" s="576"/>
      <c r="C1" s="576"/>
      <c r="J1" s="562" t="s">
        <v>65</v>
      </c>
      <c r="K1" s="562"/>
    </row>
    <row r="2" spans="1:12" ht="20.25" customHeight="1">
      <c r="A2" s="577"/>
      <c r="B2" s="577"/>
      <c r="C2" s="577"/>
      <c r="I2" s="40"/>
      <c r="J2" s="562"/>
      <c r="K2" s="562"/>
    </row>
    <row r="3" spans="1:12" ht="43.5" customHeight="1">
      <c r="A3" s="568" t="s">
        <v>571</v>
      </c>
      <c r="B3" s="568"/>
      <c r="C3" s="568"/>
      <c r="D3" s="568"/>
      <c r="E3" s="568"/>
      <c r="F3" s="568"/>
      <c r="G3" s="568"/>
      <c r="H3" s="568"/>
      <c r="I3" s="568"/>
      <c r="J3" s="568"/>
      <c r="K3" s="568"/>
    </row>
    <row r="4" spans="1:12" ht="33" customHeight="1">
      <c r="A4" s="578" t="str">
        <f>+'54 (2)'!A5:T5</f>
        <v>(Kèm theo Nghị quyết số     /NQ-HĐND ngày     tháng    năm 2025 của 
Hội đồng nhân dân huyện Ia H'Drai)</v>
      </c>
      <c r="B4" s="578"/>
      <c r="C4" s="578"/>
      <c r="D4" s="578"/>
      <c r="E4" s="578"/>
      <c r="F4" s="578"/>
      <c r="G4" s="578"/>
      <c r="H4" s="578"/>
      <c r="I4" s="578"/>
      <c r="J4" s="578"/>
      <c r="K4" s="578"/>
    </row>
    <row r="5" spans="1:12" ht="18" hidden="1">
      <c r="A5" s="578" t="e">
        <f>+#REF!</f>
        <v>#REF!</v>
      </c>
      <c r="B5" s="578"/>
      <c r="C5" s="578"/>
      <c r="D5" s="578"/>
      <c r="E5" s="578"/>
      <c r="F5" s="578"/>
      <c r="G5" s="578"/>
      <c r="H5" s="578"/>
      <c r="I5" s="578"/>
      <c r="J5" s="578"/>
      <c r="K5" s="578"/>
    </row>
    <row r="6" spans="1:12" ht="18" hidden="1">
      <c r="A6" s="578" t="e">
        <f>+#REF!</f>
        <v>#REF!</v>
      </c>
      <c r="B6" s="578"/>
      <c r="C6" s="578"/>
      <c r="D6" s="578"/>
      <c r="E6" s="578"/>
      <c r="F6" s="578"/>
      <c r="G6" s="578"/>
      <c r="H6" s="578"/>
      <c r="I6" s="578"/>
      <c r="J6" s="578"/>
      <c r="K6" s="578"/>
    </row>
    <row r="7" spans="1:12" ht="17.5">
      <c r="A7" s="81"/>
      <c r="B7" s="81"/>
      <c r="C7" s="81"/>
      <c r="D7" s="81"/>
      <c r="E7" s="81"/>
      <c r="F7" s="81"/>
      <c r="G7" s="81"/>
      <c r="H7" s="81"/>
      <c r="I7" s="81"/>
      <c r="J7" s="81"/>
      <c r="K7" s="81"/>
    </row>
    <row r="8" spans="1:12" ht="21" customHeight="1">
      <c r="G8" s="41"/>
      <c r="H8" s="41"/>
      <c r="I8" s="41"/>
      <c r="J8" s="560" t="s">
        <v>122</v>
      </c>
      <c r="K8" s="560"/>
    </row>
    <row r="9" spans="1:12" s="10" customFormat="1" ht="19.5" customHeight="1">
      <c r="A9" s="565" t="s">
        <v>7</v>
      </c>
      <c r="B9" s="565" t="s">
        <v>27</v>
      </c>
      <c r="C9" s="570" t="s">
        <v>347</v>
      </c>
      <c r="D9" s="572"/>
      <c r="E9" s="572"/>
      <c r="F9" s="571"/>
      <c r="G9" s="570" t="s">
        <v>29</v>
      </c>
      <c r="H9" s="572"/>
      <c r="I9" s="572"/>
      <c r="J9" s="571"/>
      <c r="K9" s="565" t="s">
        <v>21</v>
      </c>
    </row>
    <row r="10" spans="1:12" s="10" customFormat="1" ht="19.5" customHeight="1">
      <c r="A10" s="566"/>
      <c r="B10" s="566"/>
      <c r="C10" s="569" t="s">
        <v>24</v>
      </c>
      <c r="D10" s="570" t="s">
        <v>20</v>
      </c>
      <c r="E10" s="572"/>
      <c r="F10" s="571"/>
      <c r="G10" s="159"/>
      <c r="H10" s="570" t="s">
        <v>20</v>
      </c>
      <c r="I10" s="572"/>
      <c r="J10" s="572"/>
      <c r="K10" s="566"/>
    </row>
    <row r="11" spans="1:12" s="10" customFormat="1" ht="19.5" customHeight="1">
      <c r="A11" s="566"/>
      <c r="B11" s="566"/>
      <c r="C11" s="563"/>
      <c r="D11" s="570" t="s">
        <v>30</v>
      </c>
      <c r="E11" s="571"/>
      <c r="F11" s="569" t="s">
        <v>31</v>
      </c>
      <c r="G11" s="569" t="s">
        <v>22</v>
      </c>
      <c r="H11" s="570" t="s">
        <v>30</v>
      </c>
      <c r="I11" s="571"/>
      <c r="J11" s="573" t="s">
        <v>31</v>
      </c>
      <c r="K11" s="566"/>
    </row>
    <row r="12" spans="1:12" s="10" customFormat="1" ht="16.5" customHeight="1">
      <c r="A12" s="566"/>
      <c r="B12" s="566"/>
      <c r="C12" s="563"/>
      <c r="D12" s="563" t="s">
        <v>22</v>
      </c>
      <c r="E12" s="563" t="s">
        <v>32</v>
      </c>
      <c r="F12" s="563"/>
      <c r="G12" s="563"/>
      <c r="H12" s="563" t="s">
        <v>22</v>
      </c>
      <c r="I12" s="563" t="s">
        <v>33</v>
      </c>
      <c r="J12" s="574"/>
      <c r="K12" s="566"/>
    </row>
    <row r="13" spans="1:12" s="10" customFormat="1" ht="16.5" customHeight="1">
      <c r="A13" s="566"/>
      <c r="B13" s="566"/>
      <c r="C13" s="563"/>
      <c r="D13" s="563"/>
      <c r="E13" s="563"/>
      <c r="F13" s="563"/>
      <c r="G13" s="563"/>
      <c r="H13" s="563"/>
      <c r="I13" s="563"/>
      <c r="J13" s="574"/>
      <c r="K13" s="566"/>
    </row>
    <row r="14" spans="1:12" s="10" customFormat="1" ht="10.5" customHeight="1">
      <c r="A14" s="567"/>
      <c r="B14" s="567"/>
      <c r="C14" s="564"/>
      <c r="D14" s="564"/>
      <c r="E14" s="564"/>
      <c r="F14" s="564"/>
      <c r="G14" s="564"/>
      <c r="H14" s="564"/>
      <c r="I14" s="564"/>
      <c r="J14" s="575"/>
      <c r="K14" s="567"/>
    </row>
    <row r="15" spans="1:12" s="10" customFormat="1" ht="16.5" customHeight="1">
      <c r="A15" s="160" t="s">
        <v>10</v>
      </c>
      <c r="B15" s="161" t="s">
        <v>11</v>
      </c>
      <c r="C15" s="162">
        <v>1</v>
      </c>
      <c r="D15" s="162">
        <v>2</v>
      </c>
      <c r="E15" s="162">
        <v>3</v>
      </c>
      <c r="F15" s="162">
        <v>4</v>
      </c>
      <c r="G15" s="162">
        <v>5</v>
      </c>
      <c r="H15" s="162">
        <v>6</v>
      </c>
      <c r="I15" s="162">
        <v>7</v>
      </c>
      <c r="J15" s="162">
        <v>8</v>
      </c>
      <c r="K15" s="163">
        <v>9</v>
      </c>
      <c r="L15" s="11"/>
    </row>
    <row r="16" spans="1:12" s="7" customFormat="1" ht="18.75" customHeight="1">
      <c r="A16" s="164"/>
      <c r="B16" s="165" t="s">
        <v>22</v>
      </c>
      <c r="C16" s="166">
        <f t="shared" ref="C16:J16" si="0">SUM(C17:C19)</f>
        <v>67078352000</v>
      </c>
      <c r="D16" s="166">
        <f t="shared" si="0"/>
        <v>26529352000</v>
      </c>
      <c r="E16" s="166">
        <f t="shared" si="0"/>
        <v>0</v>
      </c>
      <c r="F16" s="166">
        <f t="shared" si="0"/>
        <v>40549000000</v>
      </c>
      <c r="G16" s="166">
        <f t="shared" si="0"/>
        <v>68036827000</v>
      </c>
      <c r="H16" s="166">
        <f t="shared" si="0"/>
        <v>26303352000</v>
      </c>
      <c r="I16" s="166">
        <f t="shared" si="0"/>
        <v>0</v>
      </c>
      <c r="J16" s="166">
        <f t="shared" si="0"/>
        <v>41733475000</v>
      </c>
      <c r="K16" s="167">
        <f>G16/C16*100</f>
        <v>101.42888871211386</v>
      </c>
      <c r="L16" s="12"/>
    </row>
    <row r="17" spans="1:12" ht="18.75" customHeight="1">
      <c r="A17" s="168">
        <v>1</v>
      </c>
      <c r="B17" s="169" t="s">
        <v>117</v>
      </c>
      <c r="C17" s="170">
        <f>+D17+F17</f>
        <v>12313696000</v>
      </c>
      <c r="D17" s="170">
        <v>8039446000</v>
      </c>
      <c r="E17" s="170"/>
      <c r="F17" s="170">
        <v>4274250000</v>
      </c>
      <c r="G17" s="170">
        <f>+H17+J17</f>
        <v>13801921000</v>
      </c>
      <c r="H17" s="170">
        <v>8039446000</v>
      </c>
      <c r="I17" s="170"/>
      <c r="J17" s="170">
        <v>5762475000</v>
      </c>
      <c r="K17" s="171">
        <f>G17/C17*100</f>
        <v>112.08593260707427</v>
      </c>
      <c r="L17" s="8"/>
    </row>
    <row r="18" spans="1:12" ht="18.75" customHeight="1">
      <c r="A18" s="168">
        <v>2</v>
      </c>
      <c r="B18" s="169" t="s">
        <v>118</v>
      </c>
      <c r="C18" s="170">
        <f>+D18+F18</f>
        <v>30110189000</v>
      </c>
      <c r="D18" s="170">
        <v>10004689000</v>
      </c>
      <c r="E18" s="170"/>
      <c r="F18" s="170">
        <v>20105500000</v>
      </c>
      <c r="G18" s="170">
        <f>+H18+J18</f>
        <v>29706564000</v>
      </c>
      <c r="H18" s="170">
        <v>10004689000</v>
      </c>
      <c r="I18" s="170"/>
      <c r="J18" s="170">
        <v>19701875000</v>
      </c>
      <c r="K18" s="171">
        <f>G18/C18*100</f>
        <v>98.659506919734056</v>
      </c>
    </row>
    <row r="19" spans="1:12" ht="18.75" customHeight="1">
      <c r="A19" s="168">
        <v>3</v>
      </c>
      <c r="B19" s="169" t="s">
        <v>116</v>
      </c>
      <c r="C19" s="170">
        <f>+D19+F19</f>
        <v>24654467000</v>
      </c>
      <c r="D19" s="170">
        <v>8485217000</v>
      </c>
      <c r="E19" s="170"/>
      <c r="F19" s="170">
        <v>16169250000</v>
      </c>
      <c r="G19" s="170">
        <f>+H19+J19</f>
        <v>24528342000</v>
      </c>
      <c r="H19" s="170">
        <v>8259217000</v>
      </c>
      <c r="I19" s="170"/>
      <c r="J19" s="170">
        <v>16269125000</v>
      </c>
      <c r="K19" s="171">
        <f>G19/C19*100</f>
        <v>99.488429419301582</v>
      </c>
    </row>
    <row r="20" spans="1:12" ht="25.5" customHeight="1">
      <c r="A20" s="4"/>
      <c r="B20" s="4"/>
      <c r="H20" s="561"/>
      <c r="I20" s="561"/>
      <c r="J20" s="561"/>
      <c r="K20" s="561"/>
    </row>
    <row r="21" spans="1:12">
      <c r="A21" s="4"/>
      <c r="B21" s="4"/>
    </row>
    <row r="22" spans="1:12">
      <c r="A22" s="4"/>
      <c r="B22" s="4"/>
    </row>
    <row r="23" spans="1:12">
      <c r="A23" s="4"/>
      <c r="B23" s="4"/>
    </row>
    <row r="24" spans="1:12">
      <c r="A24" s="4"/>
      <c r="B24" s="4"/>
    </row>
    <row r="25" spans="1:12">
      <c r="A25" s="4"/>
      <c r="B25" s="4"/>
    </row>
  </sheetData>
  <mergeCells count="27">
    <mergeCell ref="F11:F14"/>
    <mergeCell ref="A1:C1"/>
    <mergeCell ref="D12:D14"/>
    <mergeCell ref="A9:A14"/>
    <mergeCell ref="B9:B14"/>
    <mergeCell ref="A2:C2"/>
    <mergeCell ref="D11:E11"/>
    <mergeCell ref="A4:K4"/>
    <mergeCell ref="A5:K5"/>
    <mergeCell ref="A6:K6"/>
    <mergeCell ref="G9:J9"/>
    <mergeCell ref="J8:K8"/>
    <mergeCell ref="H20:K20"/>
    <mergeCell ref="J1:K1"/>
    <mergeCell ref="J2:K2"/>
    <mergeCell ref="I12:I14"/>
    <mergeCell ref="K9:K14"/>
    <mergeCell ref="A3:K3"/>
    <mergeCell ref="G11:G14"/>
    <mergeCell ref="C10:C14"/>
    <mergeCell ref="H11:I11"/>
    <mergeCell ref="H12:H14"/>
    <mergeCell ref="E12:E14"/>
    <mergeCell ref="D10:F10"/>
    <mergeCell ref="C9:F9"/>
    <mergeCell ref="H10:J10"/>
    <mergeCell ref="J11:J14"/>
  </mergeCells>
  <phoneticPr fontId="19" type="noConversion"/>
  <pageMargins left="0.78740157480314965" right="0.78740157480314965" top="0.78740157480314965" bottom="0.78740157480314965" header="0.43307086614173229" footer="0.19685039370078741"/>
  <pageSetup scale="71" fitToHeight="0"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1"/>
  <sheetViews>
    <sheetView workbookViewId="0">
      <selection sqref="A1:B2"/>
    </sheetView>
  </sheetViews>
  <sheetFormatPr defaultColWidth="9.1796875" defaultRowHeight="15.5"/>
  <cols>
    <col min="1" max="1" width="5.81640625" style="26" customWidth="1"/>
    <col min="2" max="2" width="27.54296875" style="26" customWidth="1"/>
    <col min="3" max="3" width="16.81640625" style="26" customWidth="1"/>
    <col min="4" max="4" width="16" style="26" customWidth="1"/>
    <col min="5" max="5" width="16.81640625" style="26" customWidth="1"/>
    <col min="6" max="6" width="14" style="26" customWidth="1"/>
    <col min="7" max="7" width="16.453125" style="26" customWidth="1"/>
    <col min="8" max="8" width="17.453125" style="26" customWidth="1"/>
    <col min="9" max="9" width="19.453125" style="44" customWidth="1"/>
    <col min="10" max="16384" width="9.1796875" style="26"/>
  </cols>
  <sheetData>
    <row r="1" spans="1:9" ht="21" customHeight="1">
      <c r="A1" s="576"/>
      <c r="B1" s="576"/>
      <c r="C1" s="5"/>
      <c r="D1" s="25"/>
      <c r="E1" s="25"/>
      <c r="F1" s="25"/>
      <c r="G1" s="562" t="s">
        <v>104</v>
      </c>
      <c r="H1" s="562"/>
    </row>
    <row r="2" spans="1:9" ht="15.75" customHeight="1">
      <c r="A2" s="577"/>
      <c r="B2" s="577"/>
      <c r="C2" s="6"/>
      <c r="D2" s="25"/>
      <c r="E2" s="25"/>
      <c r="F2" s="25"/>
      <c r="G2" s="562"/>
      <c r="H2" s="580"/>
    </row>
    <row r="3" spans="1:9" ht="21" customHeight="1">
      <c r="A3" s="24" t="s">
        <v>572</v>
      </c>
      <c r="B3" s="24"/>
      <c r="C3" s="25"/>
      <c r="D3" s="25"/>
      <c r="E3" s="25"/>
      <c r="F3" s="25"/>
      <c r="G3" s="25"/>
      <c r="H3" s="25"/>
    </row>
    <row r="4" spans="1:9" ht="21" customHeight="1">
      <c r="A4" s="507" t="str">
        <f>+'59'!A4:K4</f>
        <v>(Kèm theo Nghị quyết số     /NQ-HĐND ngày     tháng    năm 2025 của 
Hội đồng nhân dân huyện Ia H'Drai)</v>
      </c>
      <c r="B4" s="507"/>
      <c r="C4" s="507"/>
      <c r="D4" s="507"/>
      <c r="E4" s="507"/>
      <c r="F4" s="507"/>
      <c r="G4" s="507"/>
      <c r="H4" s="507"/>
    </row>
    <row r="5" spans="1:9" ht="21" hidden="1" customHeight="1">
      <c r="A5" s="507" t="e">
        <f>+'59'!A5:K5</f>
        <v>#REF!</v>
      </c>
      <c r="B5" s="507"/>
      <c r="C5" s="507"/>
      <c r="D5" s="507"/>
      <c r="E5" s="507"/>
      <c r="F5" s="507"/>
      <c r="G5" s="507"/>
      <c r="H5" s="507"/>
    </row>
    <row r="6" spans="1:9" ht="21" hidden="1" customHeight="1">
      <c r="A6" s="507" t="e">
        <f>+'59'!A6:K6</f>
        <v>#REF!</v>
      </c>
      <c r="B6" s="507"/>
      <c r="C6" s="507"/>
      <c r="D6" s="507"/>
      <c r="E6" s="507"/>
      <c r="F6" s="507"/>
      <c r="G6" s="507"/>
      <c r="H6" s="507"/>
    </row>
    <row r="7" spans="1:9" ht="21" customHeight="1">
      <c r="A7" s="24"/>
      <c r="B7" s="24"/>
      <c r="C7" s="25"/>
      <c r="D7" s="25"/>
      <c r="E7" s="25"/>
      <c r="F7" s="25"/>
      <c r="G7" s="25"/>
      <c r="H7" s="25"/>
    </row>
    <row r="8" spans="1:9" ht="19.5" customHeight="1">
      <c r="A8" s="27"/>
      <c r="B8" s="27"/>
      <c r="H8" s="34" t="s">
        <v>122</v>
      </c>
    </row>
    <row r="9" spans="1:9" ht="25.5" customHeight="1">
      <c r="A9" s="581" t="s">
        <v>98</v>
      </c>
      <c r="B9" s="579" t="s">
        <v>67</v>
      </c>
      <c r="C9" s="581" t="s">
        <v>99</v>
      </c>
      <c r="D9" s="581" t="s">
        <v>23</v>
      </c>
      <c r="E9" s="581"/>
      <c r="F9" s="581"/>
      <c r="G9" s="581"/>
      <c r="H9" s="581"/>
    </row>
    <row r="10" spans="1:9" ht="31.5" customHeight="1">
      <c r="A10" s="579"/>
      <c r="B10" s="579"/>
      <c r="C10" s="581"/>
      <c r="D10" s="581" t="s">
        <v>100</v>
      </c>
      <c r="E10" s="581" t="s">
        <v>378</v>
      </c>
      <c r="F10" s="581" t="s">
        <v>101</v>
      </c>
      <c r="G10" s="581" t="s">
        <v>102</v>
      </c>
      <c r="H10" s="581" t="s">
        <v>103</v>
      </c>
    </row>
    <row r="11" spans="1:9" ht="31.5" customHeight="1">
      <c r="A11" s="579"/>
      <c r="B11" s="579"/>
      <c r="C11" s="581"/>
      <c r="D11" s="581"/>
      <c r="E11" s="581"/>
      <c r="F11" s="581"/>
      <c r="G11" s="581"/>
      <c r="H11" s="581"/>
    </row>
    <row r="12" spans="1:9" ht="31.5" customHeight="1">
      <c r="A12" s="579"/>
      <c r="B12" s="579"/>
      <c r="C12" s="581"/>
      <c r="D12" s="581"/>
      <c r="E12" s="581"/>
      <c r="F12" s="581"/>
      <c r="G12" s="581"/>
      <c r="H12" s="581"/>
    </row>
    <row r="13" spans="1:9" ht="31.5" customHeight="1">
      <c r="A13" s="579"/>
      <c r="B13" s="579"/>
      <c r="C13" s="581"/>
      <c r="D13" s="581"/>
      <c r="E13" s="581"/>
      <c r="F13" s="581"/>
      <c r="G13" s="581"/>
      <c r="H13" s="581"/>
    </row>
    <row r="14" spans="1:9" s="29" customFormat="1" ht="17.25" customHeight="1">
      <c r="A14" s="28" t="s">
        <v>10</v>
      </c>
      <c r="B14" s="28" t="s">
        <v>11</v>
      </c>
      <c r="C14" s="28">
        <v>1</v>
      </c>
      <c r="D14" s="28">
        <f>C14+1</f>
        <v>2</v>
      </c>
      <c r="E14" s="28">
        <f>D14+1</f>
        <v>3</v>
      </c>
      <c r="F14" s="28">
        <f>E14+1</f>
        <v>4</v>
      </c>
      <c r="G14" s="28">
        <f>F14+1</f>
        <v>5</v>
      </c>
      <c r="H14" s="28">
        <f>G14+1</f>
        <v>6</v>
      </c>
      <c r="I14" s="45"/>
    </row>
    <row r="15" spans="1:9">
      <c r="A15" s="35"/>
      <c r="B15" s="36" t="s">
        <v>75</v>
      </c>
      <c r="C15" s="42">
        <f t="shared" ref="C15:H15" si="0">SUM(C16:C18)</f>
        <v>106996500961</v>
      </c>
      <c r="D15" s="42">
        <f t="shared" si="0"/>
        <v>1192103094</v>
      </c>
      <c r="E15" s="42">
        <f t="shared" si="0"/>
        <v>68036827000</v>
      </c>
      <c r="F15" s="42">
        <f t="shared" si="0"/>
        <v>0</v>
      </c>
      <c r="G15" s="42">
        <f t="shared" si="0"/>
        <v>37477993916</v>
      </c>
      <c r="H15" s="42">
        <f t="shared" si="0"/>
        <v>289576951</v>
      </c>
    </row>
    <row r="16" spans="1:9">
      <c r="A16" s="32">
        <v>1</v>
      </c>
      <c r="B16" s="9" t="s">
        <v>117</v>
      </c>
      <c r="C16" s="43">
        <f>SUM(D16:H16)</f>
        <v>16619739952</v>
      </c>
      <c r="D16" s="43">
        <f>49771500+63797974</f>
        <v>113569474</v>
      </c>
      <c r="E16" s="43">
        <f>+'59'!G17</f>
        <v>13801921000</v>
      </c>
      <c r="F16" s="43"/>
      <c r="G16" s="43">
        <v>2639634461</v>
      </c>
      <c r="H16" s="43">
        <v>64615017</v>
      </c>
    </row>
    <row r="17" spans="1:8">
      <c r="A17" s="32">
        <f>A16+1</f>
        <v>2</v>
      </c>
      <c r="B17" s="9" t="s">
        <v>118</v>
      </c>
      <c r="C17" s="43">
        <f>SUM(D17:H17)</f>
        <v>47750920213</v>
      </c>
      <c r="D17" s="43">
        <v>27586747</v>
      </c>
      <c r="E17" s="43">
        <f>+'59'!G18</f>
        <v>29706564000</v>
      </c>
      <c r="F17" s="43"/>
      <c r="G17" s="43">
        <v>17819174982</v>
      </c>
      <c r="H17" s="43">
        <v>197594484</v>
      </c>
    </row>
    <row r="18" spans="1:8">
      <c r="A18" s="32">
        <f>A17+1</f>
        <v>3</v>
      </c>
      <c r="B18" s="9" t="s">
        <v>116</v>
      </c>
      <c r="C18" s="43">
        <f>SUM(D18:H18)</f>
        <v>42625840796</v>
      </c>
      <c r="D18" s="43">
        <f>123625872+927321001</f>
        <v>1050946873</v>
      </c>
      <c r="E18" s="43">
        <f>+'59'!G19</f>
        <v>24528342000</v>
      </c>
      <c r="F18" s="43"/>
      <c r="G18" s="43">
        <v>17019184473</v>
      </c>
      <c r="H18" s="43">
        <v>27367450</v>
      </c>
    </row>
    <row r="19" spans="1:8" ht="16" customHeight="1">
      <c r="A19" s="33"/>
      <c r="B19" s="33"/>
      <c r="C19" s="33"/>
      <c r="D19" s="33"/>
      <c r="E19" s="33"/>
      <c r="F19" s="33"/>
      <c r="G19" s="33"/>
      <c r="H19" s="33"/>
    </row>
    <row r="20" spans="1:8" ht="22.5" customHeight="1">
      <c r="A20" s="30"/>
      <c r="B20" s="31"/>
    </row>
    <row r="21" spans="1:8" ht="19.5" customHeight="1">
      <c r="F21" s="582"/>
      <c r="G21" s="582"/>
    </row>
    <row r="24" spans="1:8">
      <c r="A24" s="30"/>
    </row>
    <row r="31" spans="1:8" ht="22.5" customHeight="1"/>
  </sheetData>
  <mergeCells count="17">
    <mergeCell ref="F21:G21"/>
    <mergeCell ref="F10:F13"/>
    <mergeCell ref="G10:G13"/>
    <mergeCell ref="H10:H13"/>
    <mergeCell ref="B9:B13"/>
    <mergeCell ref="G1:H1"/>
    <mergeCell ref="G2:H2"/>
    <mergeCell ref="A1:B1"/>
    <mergeCell ref="A2:B2"/>
    <mergeCell ref="A9:A13"/>
    <mergeCell ref="A4:H4"/>
    <mergeCell ref="A5:H5"/>
    <mergeCell ref="A6:H6"/>
    <mergeCell ref="C9:C13"/>
    <mergeCell ref="D9:H9"/>
    <mergeCell ref="D10:D13"/>
    <mergeCell ref="E10:E13"/>
  </mergeCells>
  <pageMargins left="0.9055118110236221" right="0.19685039370078741" top="0.74803149606299213" bottom="0.74803149606299213"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32"/>
  <sheetViews>
    <sheetView zoomScale="40" zoomScaleNormal="40" workbookViewId="0">
      <selection activeCell="E18" sqref="E18"/>
    </sheetView>
  </sheetViews>
  <sheetFormatPr defaultColWidth="9.1796875" defaultRowHeight="15.5"/>
  <cols>
    <col min="1" max="1" width="6.1796875" style="66" customWidth="1"/>
    <col min="2" max="2" width="20.7265625" style="66" customWidth="1"/>
    <col min="3" max="3" width="18.7265625" style="66" customWidth="1"/>
    <col min="4" max="4" width="16.1796875" style="66" customWidth="1"/>
    <col min="5" max="5" width="16.7265625" style="66" customWidth="1"/>
    <col min="6" max="6" width="18.26953125" style="66" customWidth="1"/>
    <col min="7" max="7" width="18.1796875" style="66" customWidth="1"/>
    <col min="8" max="8" width="18" style="66" customWidth="1"/>
    <col min="9" max="9" width="16.1796875" style="66" customWidth="1"/>
    <col min="10" max="10" width="17.26953125" style="66" customWidth="1"/>
    <col min="11" max="11" width="18.7265625" style="66" customWidth="1"/>
    <col min="12" max="12" width="15.54296875" style="66" customWidth="1"/>
    <col min="13" max="13" width="19.26953125" style="66" customWidth="1"/>
    <col min="14" max="14" width="15.453125" style="66" customWidth="1"/>
    <col min="15" max="15" width="13.453125" style="66" customWidth="1"/>
    <col min="16" max="16" width="17" style="66" customWidth="1"/>
    <col min="17" max="17" width="16.453125" style="66" customWidth="1"/>
    <col min="18" max="18" width="17.7265625" style="66" customWidth="1"/>
    <col min="19" max="19" width="15.81640625" style="66" customWidth="1"/>
    <col min="20" max="20" width="17.453125" style="66" customWidth="1"/>
    <col min="21" max="21" width="17.81640625" style="66" customWidth="1"/>
    <col min="22" max="22" width="9.1796875" style="66" customWidth="1"/>
    <col min="23" max="23" width="17" style="66" customWidth="1"/>
    <col min="24" max="24" width="16.453125" style="66" customWidth="1"/>
    <col min="25" max="25" width="16.7265625" style="66" customWidth="1"/>
    <col min="26" max="26" width="15.81640625" style="66" customWidth="1"/>
    <col min="27" max="27" width="17.453125" style="66" customWidth="1"/>
    <col min="28" max="28" width="17.81640625" style="66" customWidth="1"/>
    <col min="29" max="29" width="9.1796875" style="66" customWidth="1"/>
    <col min="30" max="16384" width="9.1796875" style="66"/>
  </cols>
  <sheetData>
    <row r="1" spans="1:32">
      <c r="A1" s="597" t="s">
        <v>374</v>
      </c>
      <c r="B1" s="597"/>
      <c r="C1" s="597"/>
      <c r="D1" s="597"/>
      <c r="E1" s="597"/>
      <c r="F1" s="597"/>
      <c r="G1" s="597"/>
      <c r="H1" s="597"/>
      <c r="I1" s="597"/>
      <c r="J1" s="597"/>
      <c r="K1" s="597"/>
      <c r="L1" s="597"/>
      <c r="M1" s="597"/>
      <c r="N1" s="597"/>
      <c r="O1" s="597"/>
      <c r="P1" s="597"/>
      <c r="Q1" s="597"/>
      <c r="R1" s="597"/>
      <c r="S1" s="597"/>
      <c r="T1" s="597"/>
      <c r="U1" s="597"/>
      <c r="V1" s="597"/>
      <c r="W1" s="186"/>
      <c r="X1" s="186"/>
      <c r="Y1" s="186"/>
      <c r="Z1" s="186"/>
      <c r="AA1" s="186"/>
      <c r="AB1" s="186"/>
      <c r="AC1" s="186"/>
    </row>
    <row r="2" spans="1:32">
      <c r="A2" s="599" t="s">
        <v>564</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row>
    <row r="3" spans="1:32">
      <c r="A3" s="583" t="str">
        <f>+'60'!A4:H4</f>
        <v>(Kèm theo Nghị quyết số     /NQ-HĐND ngày     tháng    năm 2025 của 
Hội đồng nhân dân huyện Ia H'Drai)</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row>
    <row r="4" spans="1:32" hidden="1">
      <c r="A4" s="583" t="e">
        <f>+'60'!A5:H5</f>
        <v>#REF!</v>
      </c>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row>
    <row r="5" spans="1:32" hidden="1">
      <c r="A5" s="583" t="e">
        <f>+'60'!A6:H6</f>
        <v>#REF!</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row>
    <row r="6" spans="1:32" hidden="1">
      <c r="A6" s="82"/>
      <c r="B6" s="82"/>
      <c r="C6" s="82"/>
      <c r="D6" s="82"/>
      <c r="E6" s="82"/>
      <c r="F6" s="82"/>
      <c r="G6" s="82"/>
      <c r="H6" s="82"/>
      <c r="I6" s="82"/>
      <c r="J6" s="82"/>
      <c r="K6" s="82"/>
      <c r="L6" s="82"/>
      <c r="M6" s="82"/>
      <c r="N6" s="82"/>
      <c r="O6" s="82"/>
      <c r="P6" s="82"/>
      <c r="Q6" s="82"/>
      <c r="R6" s="82"/>
      <c r="S6" s="82"/>
      <c r="T6" s="82"/>
      <c r="U6" s="82"/>
      <c r="V6" s="82"/>
      <c r="W6" s="190"/>
      <c r="X6" s="190"/>
      <c r="Y6" s="190"/>
      <c r="Z6" s="190"/>
      <c r="AA6" s="190"/>
      <c r="AB6" s="190"/>
      <c r="AC6" s="190"/>
      <c r="AD6" s="82"/>
      <c r="AE6" s="82"/>
      <c r="AF6" s="82"/>
    </row>
    <row r="7" spans="1:32">
      <c r="A7" s="598" t="s">
        <v>124</v>
      </c>
      <c r="B7" s="598"/>
      <c r="C7" s="598"/>
      <c r="D7" s="598"/>
      <c r="E7" s="598"/>
      <c r="F7" s="598"/>
      <c r="G7" s="598"/>
      <c r="H7" s="598"/>
      <c r="I7" s="598"/>
      <c r="J7" s="598"/>
      <c r="K7" s="598"/>
      <c r="L7" s="598"/>
      <c r="M7" s="598"/>
      <c r="N7" s="598"/>
      <c r="O7" s="598"/>
      <c r="P7" s="598"/>
      <c r="Q7" s="598"/>
      <c r="R7" s="598"/>
      <c r="S7" s="598"/>
      <c r="T7" s="598"/>
      <c r="U7" s="598"/>
      <c r="V7" s="598"/>
      <c r="W7" s="187"/>
      <c r="X7" s="187"/>
      <c r="Y7" s="187"/>
      <c r="Z7" s="187"/>
      <c r="AA7" s="187"/>
      <c r="AB7" s="187"/>
      <c r="AC7" s="187"/>
    </row>
    <row r="8" spans="1:32">
      <c r="A8" s="76"/>
      <c r="B8" s="76"/>
      <c r="C8" s="76"/>
      <c r="D8" s="76"/>
      <c r="E8" s="76"/>
      <c r="F8" s="76"/>
      <c r="G8" s="84"/>
      <c r="H8" s="76"/>
      <c r="I8" s="76"/>
      <c r="J8" s="76"/>
      <c r="K8" s="76"/>
      <c r="L8" s="76"/>
      <c r="M8" s="76"/>
      <c r="N8" s="76"/>
      <c r="O8" s="76"/>
      <c r="P8" s="76"/>
      <c r="Q8" s="76"/>
      <c r="R8" s="76"/>
      <c r="S8" s="76"/>
      <c r="T8" s="76"/>
      <c r="U8" s="76"/>
      <c r="V8" s="76"/>
      <c r="W8" s="187"/>
      <c r="X8" s="187"/>
      <c r="Y8" s="187"/>
      <c r="Z8" s="187"/>
      <c r="AA8" s="187"/>
      <c r="AB8" s="187"/>
      <c r="AC8" s="187"/>
    </row>
    <row r="9" spans="1:32" s="67" customFormat="1" ht="24" customHeight="1">
      <c r="A9" s="585" t="s">
        <v>7</v>
      </c>
      <c r="B9" s="585" t="s">
        <v>67</v>
      </c>
      <c r="C9" s="592" t="s">
        <v>347</v>
      </c>
      <c r="D9" s="593"/>
      <c r="E9" s="594"/>
      <c r="F9" s="592" t="s">
        <v>29</v>
      </c>
      <c r="G9" s="593"/>
      <c r="H9" s="593"/>
      <c r="I9" s="593"/>
      <c r="J9" s="593"/>
      <c r="K9" s="593"/>
      <c r="L9" s="593"/>
      <c r="M9" s="593"/>
      <c r="N9" s="593"/>
      <c r="O9" s="593"/>
      <c r="P9" s="593"/>
      <c r="Q9" s="593"/>
      <c r="R9" s="593"/>
      <c r="S9" s="593"/>
      <c r="T9" s="593"/>
      <c r="U9" s="593"/>
      <c r="V9" s="593"/>
      <c r="W9" s="189"/>
      <c r="X9" s="189"/>
      <c r="Y9" s="189"/>
      <c r="Z9" s="189"/>
      <c r="AA9" s="189"/>
      <c r="AB9" s="189"/>
      <c r="AC9" s="189"/>
      <c r="AD9" s="588" t="s">
        <v>301</v>
      </c>
      <c r="AE9" s="588"/>
      <c r="AF9" s="588"/>
    </row>
    <row r="10" spans="1:32" s="67" customFormat="1">
      <c r="A10" s="596"/>
      <c r="B10" s="596"/>
      <c r="C10" s="595" t="s">
        <v>22</v>
      </c>
      <c r="D10" s="585" t="s">
        <v>23</v>
      </c>
      <c r="E10" s="585"/>
      <c r="F10" s="591" t="s">
        <v>22</v>
      </c>
      <c r="G10" s="585" t="s">
        <v>23</v>
      </c>
      <c r="H10" s="585"/>
      <c r="I10" s="585" t="s">
        <v>296</v>
      </c>
      <c r="J10" s="585"/>
      <c r="K10" s="585"/>
      <c r="L10" s="585"/>
      <c r="M10" s="585"/>
      <c r="N10" s="585"/>
      <c r="O10" s="585"/>
      <c r="P10" s="585" t="s">
        <v>297</v>
      </c>
      <c r="Q10" s="585"/>
      <c r="R10" s="585"/>
      <c r="S10" s="585"/>
      <c r="T10" s="585"/>
      <c r="U10" s="585"/>
      <c r="V10" s="590"/>
      <c r="W10" s="585" t="s">
        <v>463</v>
      </c>
      <c r="X10" s="585"/>
      <c r="Y10" s="585"/>
      <c r="Z10" s="585"/>
      <c r="AA10" s="585"/>
      <c r="AB10" s="585"/>
      <c r="AC10" s="590"/>
      <c r="AD10" s="584" t="s">
        <v>22</v>
      </c>
      <c r="AE10" s="584" t="s">
        <v>23</v>
      </c>
      <c r="AF10" s="584"/>
    </row>
    <row r="11" spans="1:32" s="67" customFormat="1">
      <c r="A11" s="586"/>
      <c r="B11" s="586"/>
      <c r="C11" s="595"/>
      <c r="D11" s="586" t="s">
        <v>298</v>
      </c>
      <c r="E11" s="586" t="s">
        <v>299</v>
      </c>
      <c r="F11" s="591"/>
      <c r="G11" s="586" t="s">
        <v>298</v>
      </c>
      <c r="H11" s="586" t="s">
        <v>299</v>
      </c>
      <c r="I11" s="586" t="s">
        <v>22</v>
      </c>
      <c r="J11" s="586" t="s">
        <v>298</v>
      </c>
      <c r="K11" s="586"/>
      <c r="L11" s="586"/>
      <c r="M11" s="586" t="s">
        <v>299</v>
      </c>
      <c r="N11" s="586"/>
      <c r="O11" s="586"/>
      <c r="P11" s="586" t="s">
        <v>22</v>
      </c>
      <c r="Q11" s="586" t="s">
        <v>298</v>
      </c>
      <c r="R11" s="586"/>
      <c r="S11" s="586"/>
      <c r="T11" s="586" t="s">
        <v>299</v>
      </c>
      <c r="U11" s="586"/>
      <c r="V11" s="589"/>
      <c r="W11" s="586" t="s">
        <v>22</v>
      </c>
      <c r="X11" s="586" t="s">
        <v>298</v>
      </c>
      <c r="Y11" s="586"/>
      <c r="Z11" s="586"/>
      <c r="AA11" s="586" t="s">
        <v>299</v>
      </c>
      <c r="AB11" s="586"/>
      <c r="AC11" s="589"/>
      <c r="AD11" s="584"/>
      <c r="AE11" s="587" t="s">
        <v>302</v>
      </c>
      <c r="AF11" s="587" t="s">
        <v>303</v>
      </c>
    </row>
    <row r="12" spans="1:32" s="67" customFormat="1" ht="45">
      <c r="A12" s="586"/>
      <c r="B12" s="586"/>
      <c r="C12" s="596"/>
      <c r="D12" s="586"/>
      <c r="E12" s="586"/>
      <c r="F12" s="591"/>
      <c r="G12" s="586"/>
      <c r="H12" s="586"/>
      <c r="I12" s="586"/>
      <c r="J12" s="68" t="s">
        <v>22</v>
      </c>
      <c r="K12" s="68" t="s">
        <v>25</v>
      </c>
      <c r="L12" s="68" t="s">
        <v>300</v>
      </c>
      <c r="M12" s="68" t="s">
        <v>22</v>
      </c>
      <c r="N12" s="68" t="s">
        <v>25</v>
      </c>
      <c r="O12" s="68" t="s">
        <v>300</v>
      </c>
      <c r="P12" s="586"/>
      <c r="Q12" s="68" t="s">
        <v>22</v>
      </c>
      <c r="R12" s="68" t="s">
        <v>25</v>
      </c>
      <c r="S12" s="68" t="s">
        <v>300</v>
      </c>
      <c r="T12" s="68" t="s">
        <v>22</v>
      </c>
      <c r="U12" s="68" t="s">
        <v>25</v>
      </c>
      <c r="V12" s="77" t="s">
        <v>300</v>
      </c>
      <c r="W12" s="586"/>
      <c r="X12" s="185" t="s">
        <v>22</v>
      </c>
      <c r="Y12" s="185" t="s">
        <v>25</v>
      </c>
      <c r="Z12" s="185" t="s">
        <v>300</v>
      </c>
      <c r="AA12" s="185" t="s">
        <v>22</v>
      </c>
      <c r="AB12" s="185" t="s">
        <v>25</v>
      </c>
      <c r="AC12" s="188" t="s">
        <v>300</v>
      </c>
      <c r="AD12" s="584"/>
      <c r="AE12" s="584"/>
      <c r="AF12" s="584"/>
    </row>
    <row r="13" spans="1:32" s="72" customFormat="1" ht="15">
      <c r="A13" s="68"/>
      <c r="B13" s="69" t="s">
        <v>22</v>
      </c>
      <c r="C13" s="71">
        <f>SUM(C14:C29)</f>
        <v>145707200000</v>
      </c>
      <c r="D13" s="71">
        <f t="shared" ref="D13:V13" si="0">SUM(D14:D29)</f>
        <v>94840000000</v>
      </c>
      <c r="E13" s="71">
        <f t="shared" si="0"/>
        <v>50867200000</v>
      </c>
      <c r="F13" s="71">
        <f t="shared" si="0"/>
        <v>179295480294</v>
      </c>
      <c r="G13" s="71">
        <f t="shared" si="0"/>
        <v>153618810062</v>
      </c>
      <c r="H13" s="71">
        <f t="shared" si="0"/>
        <v>25676670232</v>
      </c>
      <c r="I13" s="71">
        <f t="shared" si="0"/>
        <v>6663548702</v>
      </c>
      <c r="J13" s="71">
        <f t="shared" si="0"/>
        <v>3339615355</v>
      </c>
      <c r="K13" s="71">
        <f t="shared" si="0"/>
        <v>3339615355</v>
      </c>
      <c r="L13" s="71">
        <f t="shared" si="0"/>
        <v>0</v>
      </c>
      <c r="M13" s="71">
        <f t="shared" si="0"/>
        <v>3323933347</v>
      </c>
      <c r="N13" s="71">
        <f t="shared" si="0"/>
        <v>3323933347</v>
      </c>
      <c r="O13" s="71">
        <f t="shared" si="0"/>
        <v>0</v>
      </c>
      <c r="P13" s="71">
        <f t="shared" si="0"/>
        <v>94520669468</v>
      </c>
      <c r="Q13" s="71">
        <f t="shared" si="0"/>
        <v>80421708618</v>
      </c>
      <c r="R13" s="71">
        <f t="shared" si="0"/>
        <v>80421708618</v>
      </c>
      <c r="S13" s="71">
        <f t="shared" si="0"/>
        <v>0</v>
      </c>
      <c r="T13" s="71">
        <f t="shared" si="0"/>
        <v>14098960850</v>
      </c>
      <c r="U13" s="71">
        <f t="shared" si="0"/>
        <v>14098960850</v>
      </c>
      <c r="V13" s="79">
        <f t="shared" si="0"/>
        <v>0</v>
      </c>
      <c r="W13" s="71">
        <f t="shared" ref="W13:AC13" si="1">SUM(W14:W29)</f>
        <v>78111262124</v>
      </c>
      <c r="X13" s="71">
        <f t="shared" si="1"/>
        <v>69857486089</v>
      </c>
      <c r="Y13" s="71">
        <f t="shared" si="1"/>
        <v>69857486089</v>
      </c>
      <c r="Z13" s="71">
        <f t="shared" si="1"/>
        <v>0</v>
      </c>
      <c r="AA13" s="71">
        <f t="shared" si="1"/>
        <v>8253776035</v>
      </c>
      <c r="AB13" s="71">
        <f t="shared" si="1"/>
        <v>8253776035</v>
      </c>
      <c r="AC13" s="79">
        <f t="shared" si="1"/>
        <v>0</v>
      </c>
      <c r="AD13" s="71">
        <f>+G13/C13%</f>
        <v>105.42980035440939</v>
      </c>
      <c r="AE13" s="71">
        <f>+G13/D13%</f>
        <v>161.97681364614087</v>
      </c>
      <c r="AF13" s="71">
        <f>+H13/E13%</f>
        <v>50.477852588701559</v>
      </c>
    </row>
    <row r="14" spans="1:32" s="67" customFormat="1" ht="31">
      <c r="A14" s="73">
        <v>1</v>
      </c>
      <c r="B14" s="74" t="s">
        <v>379</v>
      </c>
      <c r="C14" s="70">
        <f t="shared" ref="C14:C22" si="2">D14+E14</f>
        <v>1451500000</v>
      </c>
      <c r="D14" s="70"/>
      <c r="E14" s="70">
        <f>82500000+1369000000</f>
        <v>1451500000</v>
      </c>
      <c r="F14" s="70">
        <f>G14+H14</f>
        <v>606000000</v>
      </c>
      <c r="G14" s="70">
        <f>+J14+Q14+X14</f>
        <v>0</v>
      </c>
      <c r="H14" s="70">
        <f>+M14+T14+AA14</f>
        <v>606000000</v>
      </c>
      <c r="I14" s="70">
        <f t="shared" ref="I14:I22" si="3">J14+M14</f>
        <v>0</v>
      </c>
      <c r="J14" s="70">
        <f t="shared" ref="J14:J22" si="4">K14+L14</f>
        <v>0</v>
      </c>
      <c r="K14" s="70"/>
      <c r="L14" s="70"/>
      <c r="M14" s="70">
        <f t="shared" ref="M14:M22" si="5">N14+O14</f>
        <v>0</v>
      </c>
      <c r="N14" s="70"/>
      <c r="O14" s="70"/>
      <c r="P14" s="70">
        <f t="shared" ref="P14:P22" si="6">Q14+T14</f>
        <v>606000000</v>
      </c>
      <c r="Q14" s="70">
        <f t="shared" ref="Q14:Q22" si="7">R14+S14</f>
        <v>0</v>
      </c>
      <c r="R14" s="70"/>
      <c r="S14" s="70"/>
      <c r="T14" s="70">
        <f t="shared" ref="T14:T22" si="8">U14+V14</f>
        <v>606000000</v>
      </c>
      <c r="U14" s="70">
        <v>606000000</v>
      </c>
      <c r="V14" s="78"/>
      <c r="W14" s="70">
        <f t="shared" ref="W14:W22" si="9">X14+AA14</f>
        <v>0</v>
      </c>
      <c r="X14" s="70">
        <f t="shared" ref="X14:X22" si="10">Y14+Z14</f>
        <v>0</v>
      </c>
      <c r="Y14" s="70"/>
      <c r="Z14" s="70"/>
      <c r="AA14" s="70">
        <f t="shared" ref="AA14:AA28" si="11">AB14+AC14</f>
        <v>0</v>
      </c>
      <c r="AB14" s="70"/>
      <c r="AC14" s="78"/>
      <c r="AD14" s="70">
        <f t="shared" ref="AD14:AD27" si="12">+G14/C14%</f>
        <v>0</v>
      </c>
      <c r="AE14" s="70"/>
      <c r="AF14" s="70">
        <f t="shared" ref="AF14:AF27" si="13">+H14/E14%</f>
        <v>41.749913882190839</v>
      </c>
    </row>
    <row r="15" spans="1:32" s="67" customFormat="1" ht="46.5">
      <c r="A15" s="73">
        <v>2</v>
      </c>
      <c r="B15" s="74" t="s">
        <v>355</v>
      </c>
      <c r="C15" s="70">
        <f t="shared" si="2"/>
        <v>3614700000</v>
      </c>
      <c r="D15" s="70"/>
      <c r="E15" s="70">
        <f>191700000+3423000000</f>
        <v>3614700000</v>
      </c>
      <c r="F15" s="70">
        <f t="shared" ref="F15:F22" si="14">G15+H15</f>
        <v>775896562</v>
      </c>
      <c r="G15" s="70">
        <f t="shared" ref="G15:G28" si="15">+J15+Q15+X15</f>
        <v>0</v>
      </c>
      <c r="H15" s="70">
        <f t="shared" ref="H15:H28" si="16">+M15+T15+AA15</f>
        <v>775896562</v>
      </c>
      <c r="I15" s="70">
        <f t="shared" si="3"/>
        <v>138798562</v>
      </c>
      <c r="J15" s="70">
        <f t="shared" si="4"/>
        <v>0</v>
      </c>
      <c r="K15" s="70"/>
      <c r="L15" s="70"/>
      <c r="M15" s="70">
        <f t="shared" si="5"/>
        <v>138798562</v>
      </c>
      <c r="N15" s="70">
        <v>138798562</v>
      </c>
      <c r="O15" s="70">
        <v>0</v>
      </c>
      <c r="P15" s="70">
        <f t="shared" si="6"/>
        <v>201993000</v>
      </c>
      <c r="Q15" s="70">
        <f t="shared" si="7"/>
        <v>0</v>
      </c>
      <c r="R15" s="70"/>
      <c r="S15" s="70"/>
      <c r="T15" s="70">
        <f t="shared" si="8"/>
        <v>201993000</v>
      </c>
      <c r="U15" s="70">
        <v>201993000</v>
      </c>
      <c r="V15" s="78"/>
      <c r="W15" s="70">
        <f t="shared" si="9"/>
        <v>435105000</v>
      </c>
      <c r="X15" s="70">
        <f t="shared" si="10"/>
        <v>0</v>
      </c>
      <c r="Y15" s="70"/>
      <c r="Z15" s="70"/>
      <c r="AA15" s="70">
        <f t="shared" si="11"/>
        <v>435105000</v>
      </c>
      <c r="AB15" s="70">
        <v>435105000</v>
      </c>
      <c r="AC15" s="78"/>
      <c r="AD15" s="70">
        <f t="shared" si="12"/>
        <v>0</v>
      </c>
      <c r="AE15" s="70"/>
      <c r="AF15" s="70">
        <f>+H15/E15%</f>
        <v>21.46503339142944</v>
      </c>
    </row>
    <row r="16" spans="1:32" s="67" customFormat="1">
      <c r="A16" s="73">
        <v>3</v>
      </c>
      <c r="B16" s="74" t="s">
        <v>117</v>
      </c>
      <c r="C16" s="70">
        <f t="shared" si="2"/>
        <v>10029000000</v>
      </c>
      <c r="D16" s="70">
        <v>4935000000</v>
      </c>
      <c r="E16" s="70">
        <f>955000000+4139000000</f>
        <v>5094000000</v>
      </c>
      <c r="F16" s="70">
        <f t="shared" si="14"/>
        <v>12247898527</v>
      </c>
      <c r="G16" s="70">
        <f>+J16+Q16+X16</f>
        <v>6341114255</v>
      </c>
      <c r="H16" s="70">
        <f t="shared" si="16"/>
        <v>5906784272</v>
      </c>
      <c r="I16" s="70">
        <f t="shared" si="3"/>
        <v>3384701855</v>
      </c>
      <c r="J16" s="70">
        <f t="shared" si="4"/>
        <v>2486615355</v>
      </c>
      <c r="K16" s="70">
        <v>2486615355</v>
      </c>
      <c r="L16" s="70"/>
      <c r="M16" s="70">
        <f t="shared" si="5"/>
        <v>898086500</v>
      </c>
      <c r="N16" s="70">
        <v>898086500</v>
      </c>
      <c r="O16" s="70"/>
      <c r="P16" s="70">
        <f t="shared" si="6"/>
        <v>5049207928</v>
      </c>
      <c r="Q16" s="70">
        <f t="shared" si="7"/>
        <v>2171619000</v>
      </c>
      <c r="R16" s="70">
        <v>2171619000</v>
      </c>
      <c r="S16" s="70"/>
      <c r="T16" s="70">
        <f t="shared" si="8"/>
        <v>2877588928</v>
      </c>
      <c r="U16" s="70">
        <v>2877588928</v>
      </c>
      <c r="V16" s="78"/>
      <c r="W16" s="70">
        <f t="shared" si="9"/>
        <v>3813988744</v>
      </c>
      <c r="X16" s="70">
        <f t="shared" si="10"/>
        <v>1682879900</v>
      </c>
      <c r="Y16" s="70">
        <v>1682879900</v>
      </c>
      <c r="Z16" s="70"/>
      <c r="AA16" s="70">
        <f t="shared" si="11"/>
        <v>2131108844</v>
      </c>
      <c r="AB16" s="70">
        <v>2131108844</v>
      </c>
      <c r="AC16" s="78"/>
      <c r="AD16" s="70">
        <f t="shared" si="12"/>
        <v>63.227781982251472</v>
      </c>
      <c r="AE16" s="70">
        <f>+G16/D16%</f>
        <v>128.49269007092198</v>
      </c>
      <c r="AF16" s="70">
        <f t="shared" si="13"/>
        <v>115.95571794267767</v>
      </c>
    </row>
    <row r="17" spans="1:32" s="67" customFormat="1">
      <c r="A17" s="73">
        <v>4</v>
      </c>
      <c r="B17" s="74" t="s">
        <v>118</v>
      </c>
      <c r="C17" s="70">
        <f t="shared" si="2"/>
        <v>29745000000</v>
      </c>
      <c r="D17" s="70">
        <v>8512000000</v>
      </c>
      <c r="E17" s="70">
        <f>1420000000+19813000000</f>
        <v>21233000000</v>
      </c>
      <c r="F17" s="70">
        <f t="shared" si="14"/>
        <v>17459171863</v>
      </c>
      <c r="G17" s="70">
        <f t="shared" si="15"/>
        <v>8636536650</v>
      </c>
      <c r="H17" s="70">
        <f t="shared" si="16"/>
        <v>8822635213</v>
      </c>
      <c r="I17" s="70">
        <f t="shared" si="3"/>
        <v>851911571</v>
      </c>
      <c r="J17" s="70">
        <f t="shared" si="4"/>
        <v>0</v>
      </c>
      <c r="K17" s="70"/>
      <c r="L17" s="70"/>
      <c r="M17" s="70">
        <f t="shared" si="5"/>
        <v>851911571</v>
      </c>
      <c r="N17" s="70">
        <v>851911571</v>
      </c>
      <c r="O17" s="70"/>
      <c r="P17" s="70">
        <f t="shared" si="6"/>
        <v>8878522442</v>
      </c>
      <c r="Q17" s="70">
        <f t="shared" si="7"/>
        <v>2891717000</v>
      </c>
      <c r="R17" s="70">
        <v>2891717000</v>
      </c>
      <c r="S17" s="70"/>
      <c r="T17" s="70">
        <f t="shared" si="8"/>
        <v>5986805442</v>
      </c>
      <c r="U17" s="70">
        <v>5986805442</v>
      </c>
      <c r="V17" s="78"/>
      <c r="W17" s="70">
        <f t="shared" si="9"/>
        <v>7728737850</v>
      </c>
      <c r="X17" s="70">
        <f t="shared" si="10"/>
        <v>5744819650</v>
      </c>
      <c r="Y17" s="70">
        <v>5744819650</v>
      </c>
      <c r="Z17" s="70"/>
      <c r="AA17" s="70">
        <f t="shared" si="11"/>
        <v>1983918200</v>
      </c>
      <c r="AB17" s="70">
        <v>1983918200</v>
      </c>
      <c r="AC17" s="78"/>
      <c r="AD17" s="70">
        <f t="shared" si="12"/>
        <v>29.035255168935954</v>
      </c>
      <c r="AE17" s="70">
        <f>+G17/D17%</f>
        <v>101.46307154605263</v>
      </c>
      <c r="AF17" s="70">
        <f t="shared" si="13"/>
        <v>41.55152457495408</v>
      </c>
    </row>
    <row r="18" spans="1:32" s="67" customFormat="1">
      <c r="A18" s="73">
        <v>5</v>
      </c>
      <c r="B18" s="74" t="s">
        <v>116</v>
      </c>
      <c r="C18" s="70">
        <f t="shared" si="2"/>
        <v>20375000000</v>
      </c>
      <c r="D18" s="70">
        <v>3171000000</v>
      </c>
      <c r="E18" s="70">
        <f>1170000000+16034000000</f>
        <v>17204000000</v>
      </c>
      <c r="F18" s="70">
        <f t="shared" si="14"/>
        <v>11827785142</v>
      </c>
      <c r="G18" s="70">
        <f t="shared" si="15"/>
        <v>4598071137</v>
      </c>
      <c r="H18" s="70">
        <f t="shared" si="16"/>
        <v>7229714005</v>
      </c>
      <c r="I18" s="70">
        <f t="shared" si="3"/>
        <v>1793136714</v>
      </c>
      <c r="J18" s="70">
        <f t="shared" si="4"/>
        <v>853000000</v>
      </c>
      <c r="K18" s="70">
        <v>853000000</v>
      </c>
      <c r="L18" s="70"/>
      <c r="M18" s="70">
        <f t="shared" si="5"/>
        <v>940136714</v>
      </c>
      <c r="N18" s="70">
        <v>940136714</v>
      </c>
      <c r="O18" s="70"/>
      <c r="P18" s="70">
        <f t="shared" si="6"/>
        <v>4232881000</v>
      </c>
      <c r="Q18" s="70">
        <f t="shared" si="7"/>
        <v>263750000</v>
      </c>
      <c r="R18" s="70">
        <v>263750000</v>
      </c>
      <c r="S18" s="70"/>
      <c r="T18" s="70">
        <f t="shared" si="8"/>
        <v>3969131000</v>
      </c>
      <c r="U18" s="70">
        <v>3969131000</v>
      </c>
      <c r="V18" s="78"/>
      <c r="W18" s="70">
        <f t="shared" si="9"/>
        <v>5801767428</v>
      </c>
      <c r="X18" s="70">
        <f t="shared" si="10"/>
        <v>3481321137</v>
      </c>
      <c r="Y18" s="70">
        <v>3481321137</v>
      </c>
      <c r="Z18" s="70"/>
      <c r="AA18" s="70">
        <f t="shared" si="11"/>
        <v>2320446291</v>
      </c>
      <c r="AB18" s="70">
        <f>319792291+2000654000</f>
        <v>2320446291</v>
      </c>
      <c r="AC18" s="78"/>
      <c r="AD18" s="70">
        <f t="shared" si="12"/>
        <v>22.56722030429448</v>
      </c>
      <c r="AE18" s="70">
        <f>+G18/D18%</f>
        <v>145.0038201513718</v>
      </c>
      <c r="AF18" s="70">
        <f t="shared" si="13"/>
        <v>42.023448064403624</v>
      </c>
    </row>
    <row r="19" spans="1:32" s="67" customFormat="1" ht="31">
      <c r="A19" s="73">
        <v>6</v>
      </c>
      <c r="B19" s="74" t="s">
        <v>380</v>
      </c>
      <c r="C19" s="70">
        <f>D19+E19</f>
        <v>77651000000</v>
      </c>
      <c r="D19" s="70">
        <v>77651000000</v>
      </c>
      <c r="E19" s="70"/>
      <c r="F19" s="70">
        <f>G19+H19</f>
        <v>134009296020</v>
      </c>
      <c r="G19" s="70">
        <f t="shared" si="15"/>
        <v>134009296020</v>
      </c>
      <c r="H19" s="70">
        <f t="shared" si="16"/>
        <v>0</v>
      </c>
      <c r="I19" s="70">
        <f>J19+M19</f>
        <v>0</v>
      </c>
      <c r="J19" s="70">
        <f>K19+L19</f>
        <v>0</v>
      </c>
      <c r="K19" s="70"/>
      <c r="L19" s="70"/>
      <c r="M19" s="70">
        <f>N19+O19</f>
        <v>0</v>
      </c>
      <c r="N19" s="70"/>
      <c r="O19" s="70"/>
      <c r="P19" s="70">
        <f>Q19+T19</f>
        <v>75094622618</v>
      </c>
      <c r="Q19" s="70">
        <f>R19+S19</f>
        <v>75094622618</v>
      </c>
      <c r="R19" s="70">
        <v>75094622618</v>
      </c>
      <c r="S19" s="70"/>
      <c r="T19" s="70">
        <f t="shared" si="8"/>
        <v>0</v>
      </c>
      <c r="U19" s="70"/>
      <c r="V19" s="78"/>
      <c r="W19" s="70">
        <f t="shared" si="9"/>
        <v>58914673402</v>
      </c>
      <c r="X19" s="70">
        <f t="shared" si="10"/>
        <v>58914673402</v>
      </c>
      <c r="Y19" s="70">
        <v>58914673402</v>
      </c>
      <c r="Z19" s="70"/>
      <c r="AA19" s="70">
        <f t="shared" si="11"/>
        <v>0</v>
      </c>
      <c r="AB19" s="70"/>
      <c r="AC19" s="78"/>
      <c r="AD19" s="70">
        <f t="shared" si="12"/>
        <v>172.57897003258168</v>
      </c>
      <c r="AE19" s="70">
        <f>+G19/D19%</f>
        <v>172.57897003258168</v>
      </c>
      <c r="AF19" s="70"/>
    </row>
    <row r="20" spans="1:32" s="67" customFormat="1" ht="31">
      <c r="A20" s="73">
        <v>7</v>
      </c>
      <c r="B20" s="74" t="s">
        <v>381</v>
      </c>
      <c r="C20" s="70">
        <f>D20+E20</f>
        <v>331000000</v>
      </c>
      <c r="D20" s="70"/>
      <c r="E20" s="70">
        <f>99000000+232000000</f>
        <v>331000000</v>
      </c>
      <c r="F20" s="70">
        <f>G20+H20</f>
        <v>354173900</v>
      </c>
      <c r="G20" s="70">
        <f t="shared" si="15"/>
        <v>33792000</v>
      </c>
      <c r="H20" s="70">
        <f t="shared" si="16"/>
        <v>320381900</v>
      </c>
      <c r="I20" s="70">
        <f>J20+M20</f>
        <v>0</v>
      </c>
      <c r="J20" s="70">
        <f>K20+L20</f>
        <v>0</v>
      </c>
      <c r="K20" s="70"/>
      <c r="L20" s="70"/>
      <c r="M20" s="70">
        <f>N20+O20</f>
        <v>0</v>
      </c>
      <c r="N20" s="70"/>
      <c r="O20" s="70"/>
      <c r="P20" s="70">
        <f>Q20+T20</f>
        <v>0</v>
      </c>
      <c r="Q20" s="70">
        <f>R20+S20</f>
        <v>0</v>
      </c>
      <c r="R20" s="70"/>
      <c r="S20" s="70"/>
      <c r="T20" s="70">
        <f t="shared" si="8"/>
        <v>0</v>
      </c>
      <c r="U20" s="70"/>
      <c r="V20" s="78"/>
      <c r="W20" s="70">
        <f t="shared" si="9"/>
        <v>354173900</v>
      </c>
      <c r="X20" s="70">
        <f t="shared" si="10"/>
        <v>33792000</v>
      </c>
      <c r="Y20" s="70">
        <v>33792000</v>
      </c>
      <c r="Z20" s="70"/>
      <c r="AA20" s="70">
        <f t="shared" si="11"/>
        <v>320381900</v>
      </c>
      <c r="AB20" s="70">
        <v>320381900</v>
      </c>
      <c r="AC20" s="78"/>
      <c r="AD20" s="70">
        <f t="shared" si="12"/>
        <v>10.209063444108761</v>
      </c>
      <c r="AE20" s="70"/>
      <c r="AF20" s="70">
        <f t="shared" si="13"/>
        <v>96.792114803625381</v>
      </c>
    </row>
    <row r="21" spans="1:32" s="67" customFormat="1">
      <c r="A21" s="73">
        <v>8</v>
      </c>
      <c r="B21" s="74" t="s">
        <v>382</v>
      </c>
      <c r="C21" s="70">
        <f>D21+E21</f>
        <v>10000000</v>
      </c>
      <c r="D21" s="70"/>
      <c r="E21" s="70">
        <v>10000000</v>
      </c>
      <c r="F21" s="70">
        <f>G21+H21</f>
        <v>10000000</v>
      </c>
      <c r="G21" s="70">
        <f t="shared" si="15"/>
        <v>0</v>
      </c>
      <c r="H21" s="70">
        <f t="shared" si="16"/>
        <v>10000000</v>
      </c>
      <c r="I21" s="70">
        <f>J21+M21</f>
        <v>0</v>
      </c>
      <c r="J21" s="70">
        <f>K21+L21</f>
        <v>0</v>
      </c>
      <c r="K21" s="70"/>
      <c r="L21" s="70"/>
      <c r="M21" s="70">
        <f>N21+O21</f>
        <v>0</v>
      </c>
      <c r="N21" s="70"/>
      <c r="O21" s="70"/>
      <c r="P21" s="70">
        <f>Q21+T21</f>
        <v>0</v>
      </c>
      <c r="Q21" s="70">
        <f>R21+S21</f>
        <v>0</v>
      </c>
      <c r="R21" s="70"/>
      <c r="S21" s="70"/>
      <c r="T21" s="70">
        <f t="shared" si="8"/>
        <v>0</v>
      </c>
      <c r="U21" s="70"/>
      <c r="V21" s="78"/>
      <c r="W21" s="70">
        <f t="shared" si="9"/>
        <v>10000000</v>
      </c>
      <c r="X21" s="70">
        <f t="shared" si="10"/>
        <v>0</v>
      </c>
      <c r="Y21" s="70"/>
      <c r="Z21" s="70"/>
      <c r="AA21" s="70">
        <f t="shared" si="11"/>
        <v>10000000</v>
      </c>
      <c r="AB21" s="70">
        <v>10000000</v>
      </c>
      <c r="AC21" s="78"/>
      <c r="AD21" s="70">
        <f t="shared" si="12"/>
        <v>0</v>
      </c>
      <c r="AE21" s="70"/>
      <c r="AF21" s="70">
        <f t="shared" si="13"/>
        <v>100</v>
      </c>
    </row>
    <row r="22" spans="1:32" s="67" customFormat="1">
      <c r="A22" s="73">
        <v>9</v>
      </c>
      <c r="B22" s="74" t="s">
        <v>360</v>
      </c>
      <c r="C22" s="70">
        <f t="shared" si="2"/>
        <v>18000000</v>
      </c>
      <c r="D22" s="70"/>
      <c r="E22" s="70">
        <v>18000000</v>
      </c>
      <c r="F22" s="70">
        <f t="shared" si="14"/>
        <v>18000000</v>
      </c>
      <c r="G22" s="70">
        <f t="shared" si="15"/>
        <v>0</v>
      </c>
      <c r="H22" s="70">
        <f t="shared" si="16"/>
        <v>18000000</v>
      </c>
      <c r="I22" s="70">
        <f t="shared" si="3"/>
        <v>10000000</v>
      </c>
      <c r="J22" s="70">
        <f t="shared" si="4"/>
        <v>0</v>
      </c>
      <c r="K22" s="70"/>
      <c r="L22" s="70"/>
      <c r="M22" s="70">
        <f t="shared" si="5"/>
        <v>10000000</v>
      </c>
      <c r="N22" s="70">
        <v>10000000</v>
      </c>
      <c r="O22" s="70"/>
      <c r="P22" s="70">
        <f t="shared" si="6"/>
        <v>8000000</v>
      </c>
      <c r="Q22" s="70">
        <f t="shared" si="7"/>
        <v>0</v>
      </c>
      <c r="R22" s="70"/>
      <c r="S22" s="70"/>
      <c r="T22" s="70">
        <f t="shared" si="8"/>
        <v>8000000</v>
      </c>
      <c r="U22" s="70">
        <v>8000000</v>
      </c>
      <c r="V22" s="78"/>
      <c r="W22" s="70">
        <f t="shared" si="9"/>
        <v>0</v>
      </c>
      <c r="X22" s="70">
        <f t="shared" si="10"/>
        <v>0</v>
      </c>
      <c r="Y22" s="70"/>
      <c r="Z22" s="70"/>
      <c r="AA22" s="70">
        <f t="shared" si="11"/>
        <v>0</v>
      </c>
      <c r="AB22" s="70"/>
      <c r="AC22" s="78"/>
      <c r="AD22" s="70">
        <f t="shared" si="12"/>
        <v>0</v>
      </c>
      <c r="AE22" s="70"/>
      <c r="AF22" s="70">
        <f t="shared" si="13"/>
        <v>100</v>
      </c>
    </row>
    <row r="23" spans="1:32" s="67" customFormat="1">
      <c r="A23" s="73">
        <v>10</v>
      </c>
      <c r="B23" s="74" t="s">
        <v>383</v>
      </c>
      <c r="C23" s="70">
        <f t="shared" ref="C23:C28" si="17">D23+E23</f>
        <v>237000000</v>
      </c>
      <c r="D23" s="70"/>
      <c r="E23" s="70">
        <f>54000000+183000000</f>
        <v>237000000</v>
      </c>
      <c r="F23" s="70">
        <f t="shared" ref="F23:F28" si="18">G23+H23</f>
        <v>608330000</v>
      </c>
      <c r="G23" s="70">
        <f t="shared" si="15"/>
        <v>0</v>
      </c>
      <c r="H23" s="70">
        <f t="shared" si="16"/>
        <v>608330000</v>
      </c>
      <c r="I23" s="70">
        <f t="shared" ref="I23:I28" si="19">J23+M23</f>
        <v>36000000</v>
      </c>
      <c r="J23" s="70">
        <f t="shared" ref="J23:J28" si="20">K23+L23</f>
        <v>0</v>
      </c>
      <c r="K23" s="70"/>
      <c r="L23" s="70"/>
      <c r="M23" s="70">
        <f t="shared" ref="M23:M28" si="21">N23+O23</f>
        <v>36000000</v>
      </c>
      <c r="N23" s="70">
        <v>36000000</v>
      </c>
      <c r="O23" s="70"/>
      <c r="P23" s="70">
        <f t="shared" ref="P23:P28" si="22">Q23+T23</f>
        <v>0</v>
      </c>
      <c r="Q23" s="70">
        <f t="shared" ref="Q23:Q28" si="23">R23+S23</f>
        <v>0</v>
      </c>
      <c r="R23" s="70"/>
      <c r="S23" s="70"/>
      <c r="T23" s="70">
        <f t="shared" ref="T23:T28" si="24">U23+V23</f>
        <v>0</v>
      </c>
      <c r="U23" s="70"/>
      <c r="V23" s="78"/>
      <c r="W23" s="70">
        <f t="shared" ref="W23:W28" si="25">X23+AA23</f>
        <v>572330000</v>
      </c>
      <c r="X23" s="70">
        <f t="shared" ref="X23:X28" si="26">Y23+Z23</f>
        <v>0</v>
      </c>
      <c r="Y23" s="70"/>
      <c r="Z23" s="70"/>
      <c r="AA23" s="70">
        <f t="shared" si="11"/>
        <v>572330000</v>
      </c>
      <c r="AB23" s="70">
        <v>572330000</v>
      </c>
      <c r="AC23" s="78"/>
      <c r="AD23" s="70">
        <f t="shared" si="12"/>
        <v>0</v>
      </c>
      <c r="AE23" s="70"/>
      <c r="AF23" s="70">
        <f t="shared" si="13"/>
        <v>256.67932489451476</v>
      </c>
    </row>
    <row r="24" spans="1:32" s="67" customFormat="1" ht="31">
      <c r="A24" s="73">
        <v>11</v>
      </c>
      <c r="B24" s="74" t="s">
        <v>565</v>
      </c>
      <c r="C24" s="70">
        <f t="shared" si="17"/>
        <v>53000000</v>
      </c>
      <c r="D24" s="70"/>
      <c r="E24" s="70">
        <f>45000000+8000000</f>
        <v>53000000</v>
      </c>
      <c r="F24" s="70">
        <f t="shared" si="18"/>
        <v>53000000</v>
      </c>
      <c r="G24" s="70">
        <f>+J24+Q24+X24</f>
        <v>0</v>
      </c>
      <c r="H24" s="70">
        <f>+M24+T24+AA24</f>
        <v>53000000</v>
      </c>
      <c r="I24" s="70">
        <f t="shared" si="19"/>
        <v>45000000</v>
      </c>
      <c r="J24" s="70">
        <f t="shared" si="20"/>
        <v>0</v>
      </c>
      <c r="K24" s="70"/>
      <c r="L24" s="70"/>
      <c r="M24" s="70">
        <f t="shared" si="21"/>
        <v>45000000</v>
      </c>
      <c r="N24" s="70">
        <v>45000000</v>
      </c>
      <c r="O24" s="70"/>
      <c r="P24" s="70">
        <f t="shared" si="22"/>
        <v>0</v>
      </c>
      <c r="Q24" s="70">
        <f t="shared" si="23"/>
        <v>0</v>
      </c>
      <c r="R24" s="70"/>
      <c r="S24" s="70"/>
      <c r="T24" s="70">
        <f t="shared" si="24"/>
        <v>0</v>
      </c>
      <c r="U24" s="70"/>
      <c r="V24" s="78"/>
      <c r="W24" s="70">
        <f t="shared" si="25"/>
        <v>8000000</v>
      </c>
      <c r="X24" s="70">
        <f t="shared" si="26"/>
        <v>0</v>
      </c>
      <c r="Y24" s="70"/>
      <c r="Z24" s="70"/>
      <c r="AA24" s="70">
        <f>AB24+AC24</f>
        <v>8000000</v>
      </c>
      <c r="AB24" s="70">
        <v>8000000</v>
      </c>
      <c r="AC24" s="78"/>
      <c r="AD24" s="70">
        <f t="shared" si="12"/>
        <v>0</v>
      </c>
      <c r="AE24" s="70"/>
      <c r="AF24" s="70">
        <f t="shared" si="13"/>
        <v>100</v>
      </c>
    </row>
    <row r="25" spans="1:32" s="67" customFormat="1" ht="31">
      <c r="A25" s="73">
        <v>12</v>
      </c>
      <c r="B25" s="74" t="s">
        <v>527</v>
      </c>
      <c r="C25" s="70">
        <f t="shared" si="17"/>
        <v>1237000000</v>
      </c>
      <c r="D25" s="70"/>
      <c r="E25" s="70">
        <f>158000000+70000000+1009000000</f>
        <v>1237000000</v>
      </c>
      <c r="F25" s="70">
        <f t="shared" si="18"/>
        <v>941928280</v>
      </c>
      <c r="G25" s="70">
        <f>+J25+Q25+X25</f>
        <v>0</v>
      </c>
      <c r="H25" s="70">
        <f>+M25+T25+AA25</f>
        <v>941928280</v>
      </c>
      <c r="I25" s="70">
        <f t="shared" si="19"/>
        <v>100000000</v>
      </c>
      <c r="J25" s="70">
        <f t="shared" si="20"/>
        <v>0</v>
      </c>
      <c r="K25" s="70"/>
      <c r="L25" s="70"/>
      <c r="M25" s="70">
        <f t="shared" si="21"/>
        <v>100000000</v>
      </c>
      <c r="N25" s="70">
        <v>100000000</v>
      </c>
      <c r="O25" s="70"/>
      <c r="P25" s="70">
        <f t="shared" si="22"/>
        <v>369442480</v>
      </c>
      <c r="Q25" s="70">
        <f t="shared" si="23"/>
        <v>0</v>
      </c>
      <c r="R25" s="70"/>
      <c r="S25" s="70"/>
      <c r="T25" s="70">
        <f t="shared" si="24"/>
        <v>369442480</v>
      </c>
      <c r="U25" s="70">
        <v>369442480</v>
      </c>
      <c r="V25" s="78"/>
      <c r="W25" s="70">
        <f t="shared" si="25"/>
        <v>472485800</v>
      </c>
      <c r="X25" s="70">
        <f t="shared" si="26"/>
        <v>0</v>
      </c>
      <c r="Y25" s="70"/>
      <c r="Z25" s="70"/>
      <c r="AA25" s="70">
        <f>AB25+AC25</f>
        <v>472485800</v>
      </c>
      <c r="AB25" s="70">
        <v>472485800</v>
      </c>
      <c r="AC25" s="78"/>
      <c r="AD25" s="70">
        <f t="shared" si="12"/>
        <v>0</v>
      </c>
      <c r="AE25" s="70"/>
      <c r="AF25" s="70">
        <f t="shared" si="13"/>
        <v>76.146182700080843</v>
      </c>
    </row>
    <row r="26" spans="1:32" s="67" customFormat="1">
      <c r="A26" s="73">
        <v>13</v>
      </c>
      <c r="B26" s="74" t="s">
        <v>84</v>
      </c>
      <c r="C26" s="70">
        <f t="shared" si="17"/>
        <v>304000000</v>
      </c>
      <c r="D26" s="70"/>
      <c r="E26" s="70">
        <v>304000000</v>
      </c>
      <c r="F26" s="70">
        <f t="shared" si="18"/>
        <v>304000000</v>
      </c>
      <c r="G26" s="70">
        <f>+J26+Q26+X26</f>
        <v>0</v>
      </c>
      <c r="H26" s="70">
        <f>+M26+T26+AA26</f>
        <v>304000000</v>
      </c>
      <c r="I26" s="70">
        <f t="shared" si="19"/>
        <v>304000000</v>
      </c>
      <c r="J26" s="70">
        <f t="shared" si="20"/>
        <v>0</v>
      </c>
      <c r="K26" s="70"/>
      <c r="L26" s="70"/>
      <c r="M26" s="70">
        <f t="shared" si="21"/>
        <v>304000000</v>
      </c>
      <c r="N26" s="70">
        <v>304000000</v>
      </c>
      <c r="O26" s="70"/>
      <c r="P26" s="70">
        <f t="shared" si="22"/>
        <v>0</v>
      </c>
      <c r="Q26" s="70">
        <f t="shared" si="23"/>
        <v>0</v>
      </c>
      <c r="R26" s="70"/>
      <c r="S26" s="70"/>
      <c r="T26" s="70">
        <f t="shared" si="24"/>
        <v>0</v>
      </c>
      <c r="U26" s="70"/>
      <c r="V26" s="78"/>
      <c r="W26" s="70">
        <f t="shared" si="25"/>
        <v>0</v>
      </c>
      <c r="X26" s="70">
        <f t="shared" si="26"/>
        <v>0</v>
      </c>
      <c r="Y26" s="70"/>
      <c r="Z26" s="70"/>
      <c r="AA26" s="70">
        <f>AB26+AC26</f>
        <v>0</v>
      </c>
      <c r="AB26" s="70"/>
      <c r="AC26" s="78"/>
      <c r="AD26" s="70">
        <f t="shared" si="12"/>
        <v>0</v>
      </c>
      <c r="AE26" s="70"/>
      <c r="AF26" s="70">
        <f t="shared" si="13"/>
        <v>100</v>
      </c>
    </row>
    <row r="27" spans="1:32" s="67" customFormat="1" ht="46.5">
      <c r="A27" s="73">
        <v>14</v>
      </c>
      <c r="B27" s="74" t="s">
        <v>344</v>
      </c>
      <c r="C27" s="70">
        <f t="shared" si="17"/>
        <v>80000000</v>
      </c>
      <c r="D27" s="70"/>
      <c r="E27" s="70">
        <v>80000000</v>
      </c>
      <c r="F27" s="70">
        <f t="shared" si="18"/>
        <v>80000000</v>
      </c>
      <c r="G27" s="70">
        <f>+J27+Q27+X27</f>
        <v>0</v>
      </c>
      <c r="H27" s="70">
        <f>+M27+T27+AA27</f>
        <v>80000000</v>
      </c>
      <c r="I27" s="70">
        <f t="shared" si="19"/>
        <v>0</v>
      </c>
      <c r="J27" s="70">
        <f t="shared" si="20"/>
        <v>0</v>
      </c>
      <c r="K27" s="70"/>
      <c r="L27" s="70"/>
      <c r="M27" s="70">
        <f t="shared" si="21"/>
        <v>0</v>
      </c>
      <c r="N27" s="70"/>
      <c r="O27" s="70"/>
      <c r="P27" s="70">
        <f t="shared" si="22"/>
        <v>80000000</v>
      </c>
      <c r="Q27" s="70">
        <f t="shared" si="23"/>
        <v>0</v>
      </c>
      <c r="R27" s="70"/>
      <c r="S27" s="70"/>
      <c r="T27" s="70">
        <f t="shared" si="24"/>
        <v>80000000</v>
      </c>
      <c r="U27" s="70">
        <v>80000000</v>
      </c>
      <c r="V27" s="78"/>
      <c r="W27" s="70">
        <f t="shared" si="25"/>
        <v>0</v>
      </c>
      <c r="X27" s="70">
        <f t="shared" si="26"/>
        <v>0</v>
      </c>
      <c r="Y27" s="70"/>
      <c r="Z27" s="70"/>
      <c r="AA27" s="70">
        <f>AB27+AC27</f>
        <v>0</v>
      </c>
      <c r="AB27" s="70"/>
      <c r="AC27" s="78"/>
      <c r="AD27" s="70">
        <f t="shared" si="12"/>
        <v>0</v>
      </c>
      <c r="AE27" s="70"/>
      <c r="AF27" s="70">
        <f t="shared" si="13"/>
        <v>100</v>
      </c>
    </row>
    <row r="28" spans="1:32" s="67" customFormat="1">
      <c r="A28" s="73">
        <v>15</v>
      </c>
      <c r="B28" s="74" t="s">
        <v>359</v>
      </c>
      <c r="C28" s="70">
        <f t="shared" si="17"/>
        <v>571000000</v>
      </c>
      <c r="D28" s="70">
        <v>571000000</v>
      </c>
      <c r="E28" s="70"/>
      <c r="F28" s="70">
        <f t="shared" si="18"/>
        <v>0</v>
      </c>
      <c r="G28" s="70">
        <f t="shared" si="15"/>
        <v>0</v>
      </c>
      <c r="H28" s="70">
        <f t="shared" si="16"/>
        <v>0</v>
      </c>
      <c r="I28" s="70">
        <f t="shared" si="19"/>
        <v>0</v>
      </c>
      <c r="J28" s="70">
        <f t="shared" si="20"/>
        <v>0</v>
      </c>
      <c r="K28" s="70"/>
      <c r="L28" s="70"/>
      <c r="M28" s="70">
        <f t="shared" si="21"/>
        <v>0</v>
      </c>
      <c r="N28" s="70"/>
      <c r="O28" s="70"/>
      <c r="P28" s="70">
        <f t="shared" si="22"/>
        <v>0</v>
      </c>
      <c r="Q28" s="70">
        <f t="shared" si="23"/>
        <v>0</v>
      </c>
      <c r="R28" s="70"/>
      <c r="S28" s="70"/>
      <c r="T28" s="70">
        <f t="shared" si="24"/>
        <v>0</v>
      </c>
      <c r="U28" s="70"/>
      <c r="V28" s="78"/>
      <c r="W28" s="70">
        <f t="shared" si="25"/>
        <v>0</v>
      </c>
      <c r="X28" s="70">
        <f t="shared" si="26"/>
        <v>0</v>
      </c>
      <c r="Y28" s="70"/>
      <c r="Z28" s="70"/>
      <c r="AA28" s="70">
        <f t="shared" si="11"/>
        <v>0</v>
      </c>
      <c r="AB28" s="70"/>
      <c r="AC28" s="78"/>
      <c r="AD28" s="70"/>
      <c r="AE28" s="70"/>
      <c r="AF28" s="70"/>
    </row>
    <row r="29" spans="1:32">
      <c r="A29" s="75"/>
      <c r="AD29" s="80"/>
      <c r="AE29" s="71"/>
      <c r="AF29" s="71"/>
    </row>
    <row r="31" spans="1:32">
      <c r="M31" s="83"/>
      <c r="T31" s="83"/>
      <c r="AA31" s="83"/>
    </row>
    <row r="32" spans="1:32">
      <c r="P32" s="83"/>
      <c r="W32" s="83"/>
    </row>
  </sheetData>
  <mergeCells count="35">
    <mergeCell ref="AD10:AD12"/>
    <mergeCell ref="AE11:AE12"/>
    <mergeCell ref="J11:L11"/>
    <mergeCell ref="A1:V1"/>
    <mergeCell ref="A7:V7"/>
    <mergeCell ref="A9:A12"/>
    <mergeCell ref="B9:B12"/>
    <mergeCell ref="T11:V11"/>
    <mergeCell ref="A3:AF3"/>
    <mergeCell ref="A2:AF2"/>
    <mergeCell ref="Q11:S11"/>
    <mergeCell ref="A5:AF5"/>
    <mergeCell ref="G10:H10"/>
    <mergeCell ref="H11:H12"/>
    <mergeCell ref="I11:I12"/>
    <mergeCell ref="I10:O10"/>
    <mergeCell ref="W10:AC10"/>
    <mergeCell ref="W11:W12"/>
    <mergeCell ref="X11:Z11"/>
    <mergeCell ref="A4:AF4"/>
    <mergeCell ref="AE10:AF10"/>
    <mergeCell ref="D10:E10"/>
    <mergeCell ref="P11:P12"/>
    <mergeCell ref="AF11:AF12"/>
    <mergeCell ref="AD9:AF9"/>
    <mergeCell ref="AA11:AC11"/>
    <mergeCell ref="E11:E12"/>
    <mergeCell ref="G11:G12"/>
    <mergeCell ref="P10:V10"/>
    <mergeCell ref="F10:F12"/>
    <mergeCell ref="C9:E9"/>
    <mergeCell ref="F9:V9"/>
    <mergeCell ref="M11:O11"/>
    <mergeCell ref="D11:D12"/>
    <mergeCell ref="C10:C12"/>
  </mergeCells>
  <pageMargins left="0.27559055118110237" right="0.15748031496062992" top="0.74803149606299213" bottom="0.74803149606299213" header="0.31496062992125984" footer="0.31496062992125984"/>
  <pageSetup paperSize="9" scale="28"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4"/>
  <sheetViews>
    <sheetView tabSelected="1" view="pageBreakPreview" zoomScaleSheetLayoutView="100" workbookViewId="0">
      <selection activeCell="B8" sqref="B8:B11"/>
    </sheetView>
  </sheetViews>
  <sheetFormatPr defaultColWidth="9.1796875" defaultRowHeight="18"/>
  <cols>
    <col min="1" max="1" width="3.54296875" style="85" customWidth="1"/>
    <col min="2" max="2" width="34.453125" style="85" customWidth="1"/>
    <col min="3" max="3" width="11" style="86" customWidth="1"/>
    <col min="4" max="4" width="12.81640625" style="86" customWidth="1"/>
    <col min="5" max="5" width="11" style="86" customWidth="1"/>
    <col min="6" max="6" width="12.81640625" style="86" customWidth="1"/>
    <col min="7" max="7" width="11" style="86" customWidth="1"/>
    <col min="8" max="8" width="15.26953125" style="86" customWidth="1"/>
    <col min="9" max="9" width="11" style="86" customWidth="1"/>
    <col min="10" max="10" width="13.7265625" style="86" customWidth="1"/>
    <col min="11" max="11" width="15.453125" style="86" customWidth="1"/>
    <col min="12" max="12" width="14.54296875" style="86" customWidth="1"/>
    <col min="13" max="16384" width="9.1796875" style="85"/>
  </cols>
  <sheetData>
    <row r="1" spans="1:18" ht="21" customHeight="1">
      <c r="L1" s="87" t="s">
        <v>305</v>
      </c>
      <c r="M1" s="88"/>
    </row>
    <row r="2" spans="1:18" s="89" customFormat="1" ht="21" customHeight="1">
      <c r="A2" s="600" t="s">
        <v>306</v>
      </c>
      <c r="B2" s="600"/>
      <c r="C2" s="600"/>
      <c r="D2" s="600"/>
      <c r="E2" s="600"/>
      <c r="F2" s="600"/>
      <c r="G2" s="600"/>
      <c r="H2" s="600"/>
      <c r="I2" s="600"/>
      <c r="J2" s="600"/>
      <c r="K2" s="600"/>
      <c r="L2" s="600"/>
    </row>
    <row r="3" spans="1:18" s="89" customFormat="1" ht="21" customHeight="1">
      <c r="A3" s="600" t="s">
        <v>573</v>
      </c>
      <c r="B3" s="600"/>
      <c r="C3" s="600"/>
      <c r="D3" s="600"/>
      <c r="E3" s="600"/>
      <c r="F3" s="600"/>
      <c r="G3" s="600"/>
      <c r="H3" s="600"/>
      <c r="I3" s="600"/>
      <c r="J3" s="600"/>
      <c r="K3" s="600"/>
      <c r="L3" s="600"/>
    </row>
    <row r="4" spans="1:18" s="89" customFormat="1" ht="18" customHeight="1">
      <c r="A4" s="601" t="str">
        <f>+'60'!A4:H4</f>
        <v>(Kèm theo Nghị quyết số     /NQ-HĐND ngày     tháng    năm 2025 của 
Hội đồng nhân dân huyện Ia H'Drai)</v>
      </c>
      <c r="B4" s="601"/>
      <c r="C4" s="601"/>
      <c r="D4" s="601"/>
      <c r="E4" s="601"/>
      <c r="F4" s="601"/>
      <c r="G4" s="601"/>
      <c r="H4" s="601"/>
      <c r="I4" s="601"/>
      <c r="J4" s="601"/>
      <c r="K4" s="601"/>
      <c r="L4" s="601"/>
    </row>
    <row r="5" spans="1:18" s="89" customFormat="1" ht="25.5" hidden="1" customHeight="1">
      <c r="A5" s="114"/>
      <c r="B5" s="114"/>
      <c r="C5" s="115"/>
      <c r="D5" s="115"/>
      <c r="E5" s="115"/>
      <c r="F5" s="115"/>
      <c r="G5" s="115"/>
      <c r="H5" s="115"/>
      <c r="I5" s="116"/>
      <c r="J5" s="116"/>
      <c r="K5" s="116"/>
      <c r="L5" s="116"/>
    </row>
    <row r="6" spans="1:18" s="89" customFormat="1" ht="8.25" hidden="1" customHeight="1">
      <c r="A6" s="114"/>
      <c r="B6" s="114"/>
      <c r="C6" s="117"/>
      <c r="D6" s="115"/>
      <c r="E6" s="116"/>
      <c r="F6" s="116"/>
      <c r="G6" s="117"/>
      <c r="H6" s="117"/>
      <c r="I6" s="116"/>
      <c r="J6" s="116"/>
      <c r="K6" s="116"/>
      <c r="L6" s="117"/>
    </row>
    <row r="7" spans="1:18" ht="19.5" customHeight="1" thickBot="1">
      <c r="L7" s="140" t="s">
        <v>307</v>
      </c>
      <c r="M7" s="118"/>
      <c r="N7" s="118"/>
      <c r="O7" s="118"/>
    </row>
    <row r="8" spans="1:18" s="90" customFormat="1" ht="27" customHeight="1">
      <c r="A8" s="602" t="s">
        <v>7</v>
      </c>
      <c r="B8" s="605" t="s">
        <v>308</v>
      </c>
      <c r="C8" s="611" t="s">
        <v>574</v>
      </c>
      <c r="D8" s="612" t="s">
        <v>575</v>
      </c>
      <c r="E8" s="612"/>
      <c r="F8" s="612"/>
      <c r="G8" s="612"/>
      <c r="H8" s="612" t="s">
        <v>576</v>
      </c>
      <c r="I8" s="612"/>
      <c r="J8" s="612"/>
      <c r="K8" s="612"/>
      <c r="L8" s="613" t="s">
        <v>577</v>
      </c>
      <c r="O8" s="607"/>
      <c r="P8" s="607"/>
      <c r="Q8" s="607"/>
      <c r="R8" s="607"/>
    </row>
    <row r="9" spans="1:18" s="90" customFormat="1" ht="56.25" customHeight="1">
      <c r="A9" s="603"/>
      <c r="B9" s="606"/>
      <c r="C9" s="610"/>
      <c r="D9" s="608" t="s">
        <v>309</v>
      </c>
      <c r="E9" s="609"/>
      <c r="F9" s="610" t="s">
        <v>310</v>
      </c>
      <c r="G9" s="610" t="s">
        <v>311</v>
      </c>
      <c r="H9" s="608" t="s">
        <v>309</v>
      </c>
      <c r="I9" s="609"/>
      <c r="J9" s="610" t="s">
        <v>310</v>
      </c>
      <c r="K9" s="610" t="s">
        <v>311</v>
      </c>
      <c r="L9" s="614"/>
    </row>
    <row r="10" spans="1:18" s="90" customFormat="1" ht="47.25" customHeight="1">
      <c r="A10" s="603"/>
      <c r="B10" s="606"/>
      <c r="C10" s="610"/>
      <c r="D10" s="615" t="s">
        <v>22</v>
      </c>
      <c r="E10" s="615" t="s">
        <v>312</v>
      </c>
      <c r="F10" s="610"/>
      <c r="G10" s="610"/>
      <c r="H10" s="615" t="s">
        <v>22</v>
      </c>
      <c r="I10" s="615" t="s">
        <v>312</v>
      </c>
      <c r="J10" s="610"/>
      <c r="K10" s="610"/>
      <c r="L10" s="614"/>
    </row>
    <row r="11" spans="1:18" s="91" customFormat="1" ht="47.25" customHeight="1">
      <c r="A11" s="604"/>
      <c r="B11" s="606"/>
      <c r="C11" s="610"/>
      <c r="D11" s="616"/>
      <c r="E11" s="616"/>
      <c r="F11" s="610"/>
      <c r="G11" s="610"/>
      <c r="H11" s="616"/>
      <c r="I11" s="616"/>
      <c r="J11" s="610"/>
      <c r="K11" s="610"/>
      <c r="L11" s="614"/>
    </row>
    <row r="12" spans="1:18" s="113" customFormat="1" ht="15.75" customHeight="1">
      <c r="A12" s="306" t="s">
        <v>10</v>
      </c>
      <c r="B12" s="307" t="s">
        <v>11</v>
      </c>
      <c r="C12" s="308">
        <v>1</v>
      </c>
      <c r="D12" s="308">
        <f>C12+1</f>
        <v>2</v>
      </c>
      <c r="E12" s="308">
        <f>D12+1</f>
        <v>3</v>
      </c>
      <c r="F12" s="308">
        <f>E12+1</f>
        <v>4</v>
      </c>
      <c r="G12" s="308" t="s">
        <v>313</v>
      </c>
      <c r="H12" s="308">
        <v>6</v>
      </c>
      <c r="I12" s="308">
        <f>H12+1</f>
        <v>7</v>
      </c>
      <c r="J12" s="308">
        <f>I12+1</f>
        <v>8</v>
      </c>
      <c r="K12" s="308" t="s">
        <v>314</v>
      </c>
      <c r="L12" s="309" t="s">
        <v>315</v>
      </c>
    </row>
    <row r="13" spans="1:18" s="88" customFormat="1" ht="45" customHeight="1">
      <c r="A13" s="94">
        <v>1</v>
      </c>
      <c r="B13" s="95" t="s">
        <v>316</v>
      </c>
      <c r="C13" s="310">
        <v>135.10425499999999</v>
      </c>
      <c r="D13" s="311">
        <v>105</v>
      </c>
      <c r="E13" s="311"/>
      <c r="F13" s="311">
        <v>185</v>
      </c>
      <c r="G13" s="312">
        <v>-80</v>
      </c>
      <c r="H13" s="310">
        <v>646.80558799999994</v>
      </c>
      <c r="I13" s="311"/>
      <c r="J13" s="310">
        <v>441.8</v>
      </c>
      <c r="K13" s="312">
        <v>205.00558799999993</v>
      </c>
      <c r="L13" s="311">
        <v>340.1098429999999</v>
      </c>
    </row>
    <row r="14" spans="1:18" s="120" customFormat="1" ht="45" customHeight="1">
      <c r="A14" s="313">
        <v>2</v>
      </c>
      <c r="B14" s="314" t="s">
        <v>317</v>
      </c>
      <c r="C14" s="310">
        <v>178.98721300000005</v>
      </c>
      <c r="D14" s="315">
        <v>0</v>
      </c>
      <c r="E14" s="315">
        <v>0</v>
      </c>
      <c r="F14" s="315">
        <v>0</v>
      </c>
      <c r="G14" s="312">
        <v>0</v>
      </c>
      <c r="H14" s="310">
        <v>0</v>
      </c>
      <c r="I14" s="315">
        <v>0</v>
      </c>
      <c r="J14" s="316">
        <v>0</v>
      </c>
      <c r="K14" s="312">
        <v>0</v>
      </c>
      <c r="L14" s="311">
        <v>178.98721300000005</v>
      </c>
    </row>
    <row r="15" spans="1:18" s="88" customFormat="1" ht="45" hidden="1" customHeight="1">
      <c r="A15" s="92">
        <v>3</v>
      </c>
      <c r="B15" s="95" t="s">
        <v>318</v>
      </c>
      <c r="C15" s="96"/>
      <c r="D15" s="96"/>
      <c r="E15" s="96"/>
      <c r="F15" s="96"/>
      <c r="G15" s="96">
        <f t="shared" ref="G15:G28" si="0">D15-F15</f>
        <v>0</v>
      </c>
      <c r="H15" s="96"/>
      <c r="I15" s="96"/>
      <c r="J15" s="96"/>
      <c r="K15" s="93">
        <f t="shared" ref="K15:K28" si="1">H15-J15</f>
        <v>0</v>
      </c>
      <c r="L15" s="93">
        <f t="shared" ref="L15:L28" si="2">C15+H15-J15</f>
        <v>0</v>
      </c>
    </row>
    <row r="16" spans="1:18" s="88" customFormat="1" ht="45" hidden="1" customHeight="1">
      <c r="A16" s="94">
        <v>4</v>
      </c>
      <c r="B16" s="95" t="s">
        <v>319</v>
      </c>
      <c r="C16" s="96"/>
      <c r="D16" s="96"/>
      <c r="E16" s="96"/>
      <c r="F16" s="96"/>
      <c r="G16" s="96">
        <f t="shared" si="0"/>
        <v>0</v>
      </c>
      <c r="H16" s="96"/>
      <c r="I16" s="96"/>
      <c r="J16" s="96"/>
      <c r="K16" s="93">
        <f t="shared" si="1"/>
        <v>0</v>
      </c>
      <c r="L16" s="93">
        <f t="shared" si="2"/>
        <v>0</v>
      </c>
    </row>
    <row r="17" spans="1:12" s="88" customFormat="1" ht="45" hidden="1" customHeight="1">
      <c r="A17" s="92">
        <v>5</v>
      </c>
      <c r="B17" s="95"/>
      <c r="C17" s="96"/>
      <c r="D17" s="96"/>
      <c r="E17" s="96"/>
      <c r="F17" s="96"/>
      <c r="G17" s="96">
        <f t="shared" si="0"/>
        <v>0</v>
      </c>
      <c r="H17" s="96"/>
      <c r="I17" s="96"/>
      <c r="J17" s="96"/>
      <c r="K17" s="93">
        <f t="shared" si="1"/>
        <v>0</v>
      </c>
      <c r="L17" s="93">
        <f t="shared" si="2"/>
        <v>0</v>
      </c>
    </row>
    <row r="18" spans="1:12" s="88" customFormat="1" ht="45" hidden="1" customHeight="1">
      <c r="A18" s="94">
        <v>6</v>
      </c>
      <c r="B18" s="95"/>
      <c r="C18" s="96"/>
      <c r="D18" s="96"/>
      <c r="E18" s="96"/>
      <c r="F18" s="96"/>
      <c r="G18" s="96">
        <f t="shared" si="0"/>
        <v>0</v>
      </c>
      <c r="H18" s="96"/>
      <c r="I18" s="96"/>
      <c r="J18" s="96"/>
      <c r="K18" s="93">
        <f t="shared" si="1"/>
        <v>0</v>
      </c>
      <c r="L18" s="93">
        <f t="shared" si="2"/>
        <v>0</v>
      </c>
    </row>
    <row r="19" spans="1:12" s="88" customFormat="1" ht="45" hidden="1" customHeight="1">
      <c r="A19" s="92">
        <v>7</v>
      </c>
      <c r="B19" s="95"/>
      <c r="C19" s="96"/>
      <c r="D19" s="96"/>
      <c r="E19" s="96"/>
      <c r="F19" s="96"/>
      <c r="G19" s="96">
        <f t="shared" si="0"/>
        <v>0</v>
      </c>
      <c r="H19" s="96"/>
      <c r="I19" s="96"/>
      <c r="J19" s="96"/>
      <c r="K19" s="93">
        <f t="shared" si="1"/>
        <v>0</v>
      </c>
      <c r="L19" s="93">
        <f t="shared" si="2"/>
        <v>0</v>
      </c>
    </row>
    <row r="20" spans="1:12" s="88" customFormat="1" ht="45" hidden="1" customHeight="1">
      <c r="A20" s="94">
        <v>8</v>
      </c>
      <c r="B20" s="95"/>
      <c r="C20" s="96"/>
      <c r="D20" s="96"/>
      <c r="E20" s="96"/>
      <c r="F20" s="96"/>
      <c r="G20" s="96">
        <f t="shared" si="0"/>
        <v>0</v>
      </c>
      <c r="H20" s="96"/>
      <c r="I20" s="96"/>
      <c r="J20" s="96"/>
      <c r="K20" s="93">
        <f t="shared" si="1"/>
        <v>0</v>
      </c>
      <c r="L20" s="93">
        <f t="shared" si="2"/>
        <v>0</v>
      </c>
    </row>
    <row r="21" spans="1:12" s="88" customFormat="1" ht="45" hidden="1" customHeight="1">
      <c r="A21" s="92">
        <v>9</v>
      </c>
      <c r="B21" s="95"/>
      <c r="C21" s="96"/>
      <c r="D21" s="96"/>
      <c r="E21" s="96"/>
      <c r="F21" s="96"/>
      <c r="G21" s="96">
        <f t="shared" si="0"/>
        <v>0</v>
      </c>
      <c r="H21" s="96"/>
      <c r="I21" s="96"/>
      <c r="J21" s="96"/>
      <c r="K21" s="93">
        <f t="shared" si="1"/>
        <v>0</v>
      </c>
      <c r="L21" s="93">
        <f t="shared" si="2"/>
        <v>0</v>
      </c>
    </row>
    <row r="22" spans="1:12" s="88" customFormat="1" ht="45" hidden="1" customHeight="1">
      <c r="A22" s="94">
        <v>10</v>
      </c>
      <c r="B22" s="95"/>
      <c r="C22" s="96"/>
      <c r="D22" s="96"/>
      <c r="E22" s="96"/>
      <c r="F22" s="96"/>
      <c r="G22" s="96">
        <f t="shared" si="0"/>
        <v>0</v>
      </c>
      <c r="H22" s="96"/>
      <c r="I22" s="96"/>
      <c r="J22" s="96"/>
      <c r="K22" s="93">
        <f t="shared" si="1"/>
        <v>0</v>
      </c>
      <c r="L22" s="93">
        <f t="shared" si="2"/>
        <v>0</v>
      </c>
    </row>
    <row r="23" spans="1:12" s="88" customFormat="1" ht="45" hidden="1" customHeight="1">
      <c r="A23" s="92">
        <v>11</v>
      </c>
      <c r="B23" s="95"/>
      <c r="C23" s="96"/>
      <c r="D23" s="96"/>
      <c r="E23" s="96"/>
      <c r="F23" s="96"/>
      <c r="G23" s="96">
        <f t="shared" si="0"/>
        <v>0</v>
      </c>
      <c r="H23" s="96"/>
      <c r="I23" s="96"/>
      <c r="J23" s="96"/>
      <c r="K23" s="93">
        <f t="shared" si="1"/>
        <v>0</v>
      </c>
      <c r="L23" s="93">
        <f t="shared" si="2"/>
        <v>0</v>
      </c>
    </row>
    <row r="24" spans="1:12" s="88" customFormat="1" ht="45" hidden="1" customHeight="1">
      <c r="A24" s="94">
        <v>12</v>
      </c>
      <c r="B24" s="95"/>
      <c r="C24" s="96"/>
      <c r="D24" s="96"/>
      <c r="E24" s="96"/>
      <c r="F24" s="96"/>
      <c r="G24" s="96">
        <f t="shared" si="0"/>
        <v>0</v>
      </c>
      <c r="H24" s="96"/>
      <c r="I24" s="96"/>
      <c r="J24" s="96"/>
      <c r="K24" s="93">
        <f t="shared" si="1"/>
        <v>0</v>
      </c>
      <c r="L24" s="93">
        <f t="shared" si="2"/>
        <v>0</v>
      </c>
    </row>
    <row r="25" spans="1:12" s="88" customFormat="1" ht="45" hidden="1" customHeight="1">
      <c r="A25" s="92">
        <v>13</v>
      </c>
      <c r="B25" s="95"/>
      <c r="C25" s="96"/>
      <c r="D25" s="96"/>
      <c r="E25" s="96"/>
      <c r="F25" s="96"/>
      <c r="G25" s="96">
        <f t="shared" si="0"/>
        <v>0</v>
      </c>
      <c r="H25" s="96"/>
      <c r="I25" s="96"/>
      <c r="J25" s="96"/>
      <c r="K25" s="93">
        <f t="shared" si="1"/>
        <v>0</v>
      </c>
      <c r="L25" s="93">
        <f t="shared" si="2"/>
        <v>0</v>
      </c>
    </row>
    <row r="26" spans="1:12" s="88" customFormat="1" ht="45" hidden="1" customHeight="1">
      <c r="A26" s="94">
        <v>14</v>
      </c>
      <c r="B26" s="95"/>
      <c r="C26" s="96"/>
      <c r="D26" s="96"/>
      <c r="E26" s="96"/>
      <c r="F26" s="96"/>
      <c r="G26" s="96">
        <f t="shared" si="0"/>
        <v>0</v>
      </c>
      <c r="H26" s="96"/>
      <c r="I26" s="96"/>
      <c r="J26" s="96"/>
      <c r="K26" s="93">
        <f t="shared" si="1"/>
        <v>0</v>
      </c>
      <c r="L26" s="93">
        <f t="shared" si="2"/>
        <v>0</v>
      </c>
    </row>
    <row r="27" spans="1:12" s="88" customFormat="1" ht="45" hidden="1" customHeight="1">
      <c r="A27" s="92">
        <v>15</v>
      </c>
      <c r="B27" s="95"/>
      <c r="C27" s="96"/>
      <c r="D27" s="96"/>
      <c r="E27" s="96"/>
      <c r="F27" s="96"/>
      <c r="G27" s="96">
        <f t="shared" si="0"/>
        <v>0</v>
      </c>
      <c r="H27" s="96"/>
      <c r="I27" s="96"/>
      <c r="J27" s="96"/>
      <c r="K27" s="93">
        <f t="shared" si="1"/>
        <v>0</v>
      </c>
      <c r="L27" s="93">
        <f t="shared" si="2"/>
        <v>0</v>
      </c>
    </row>
    <row r="28" spans="1:12" hidden="1">
      <c r="A28" s="94">
        <v>16</v>
      </c>
      <c r="B28" s="97"/>
      <c r="C28" s="98"/>
      <c r="D28" s="98"/>
      <c r="E28" s="98"/>
      <c r="F28" s="98"/>
      <c r="G28" s="96">
        <f t="shared" si="0"/>
        <v>0</v>
      </c>
      <c r="H28" s="98"/>
      <c r="I28" s="98"/>
      <c r="J28" s="98"/>
      <c r="K28" s="93">
        <f t="shared" si="1"/>
        <v>0</v>
      </c>
      <c r="L28" s="93">
        <f t="shared" si="2"/>
        <v>0</v>
      </c>
    </row>
    <row r="29" spans="1:12">
      <c r="I29" s="617"/>
      <c r="J29" s="617"/>
      <c r="K29" s="617"/>
      <c r="L29" s="617"/>
    </row>
    <row r="30" spans="1:12">
      <c r="I30" s="618"/>
      <c r="J30" s="618"/>
      <c r="K30" s="618"/>
      <c r="L30" s="618"/>
    </row>
    <row r="31" spans="1:12">
      <c r="I31" s="99"/>
      <c r="J31" s="100"/>
    </row>
    <row r="32" spans="1:12">
      <c r="I32" s="99"/>
      <c r="J32" s="100"/>
    </row>
    <row r="33" spans="9:10">
      <c r="I33" s="99"/>
      <c r="J33" s="100"/>
    </row>
    <row r="34" spans="9:10">
      <c r="I34" s="99"/>
      <c r="J34" s="100"/>
    </row>
  </sheetData>
  <mergeCells count="22">
    <mergeCell ref="I29:L29"/>
    <mergeCell ref="I30:L30"/>
    <mergeCell ref="D10:D11"/>
    <mergeCell ref="E10:E11"/>
    <mergeCell ref="H10:H11"/>
    <mergeCell ref="J9:J11"/>
    <mergeCell ref="K9:K11"/>
    <mergeCell ref="O8:R8"/>
    <mergeCell ref="D9:E9"/>
    <mergeCell ref="F9:F11"/>
    <mergeCell ref="G9:G11"/>
    <mergeCell ref="H9:I9"/>
    <mergeCell ref="D8:G8"/>
    <mergeCell ref="H8:K8"/>
    <mergeCell ref="L8:L11"/>
    <mergeCell ref="I10:I11"/>
    <mergeCell ref="A2:L2"/>
    <mergeCell ref="A3:L3"/>
    <mergeCell ref="A4:L4"/>
    <mergeCell ref="A8:A11"/>
    <mergeCell ref="B8:B11"/>
    <mergeCell ref="C8:C11"/>
  </mergeCells>
  <printOptions horizontalCentered="1"/>
  <pageMargins left="0.23622047244094491" right="0.23622047244094491" top="0.6692913385826772" bottom="0.19685039370078741" header="0.51181102362204722" footer="0.15748031496062992"/>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A5" zoomScale="86" zoomScaleNormal="86" zoomScaleSheetLayoutView="96" workbookViewId="0">
      <pane xSplit="3" ySplit="3" topLeftCell="D32" activePane="bottomRight" state="frozen"/>
      <selection activeCell="A5" sqref="A5"/>
      <selection pane="topRight" activeCell="D5" sqref="D5"/>
      <selection pane="bottomLeft" activeCell="A8" sqref="A8"/>
      <selection pane="bottomRight" activeCell="E58" activeCellId="6" sqref="E138 E131 E124 E114 E83 E78 E58"/>
    </sheetView>
  </sheetViews>
  <sheetFormatPr defaultColWidth="9" defaultRowHeight="15.5"/>
  <cols>
    <col min="1" max="1" width="6" style="305" customWidth="1"/>
    <col min="2" max="2" width="71.7265625" style="196" customWidth="1"/>
    <col min="3" max="3" width="18.1796875" style="196" customWidth="1"/>
    <col min="4" max="5" width="20" style="199" customWidth="1"/>
    <col min="6" max="6" width="20" style="200" customWidth="1"/>
    <col min="7" max="7" width="27.54296875" style="196" customWidth="1"/>
    <col min="8" max="8" width="9" style="196"/>
    <col min="9" max="9" width="18.26953125" style="196" customWidth="1"/>
    <col min="10" max="10" width="9" style="196"/>
    <col min="11" max="11" width="12.26953125" style="196" bestFit="1" customWidth="1"/>
    <col min="12" max="16384" width="9" style="196"/>
  </cols>
  <sheetData>
    <row r="1" spans="1:8">
      <c r="A1" s="193"/>
      <c r="B1" s="193"/>
      <c r="C1" s="193"/>
      <c r="D1" s="194"/>
      <c r="E1" s="194"/>
      <c r="F1" s="195"/>
    </row>
    <row r="2" spans="1:8">
      <c r="A2" s="619" t="s">
        <v>384</v>
      </c>
      <c r="B2" s="620"/>
      <c r="C2" s="620"/>
      <c r="D2" s="620"/>
      <c r="E2" s="620"/>
      <c r="F2" s="620"/>
    </row>
    <row r="3" spans="1:8">
      <c r="A3" s="621" t="s">
        <v>385</v>
      </c>
      <c r="B3" s="621"/>
      <c r="C3" s="621"/>
      <c r="D3" s="621"/>
      <c r="E3" s="621"/>
      <c r="F3" s="621"/>
    </row>
    <row r="4" spans="1:8">
      <c r="A4" s="622"/>
      <c r="B4" s="622"/>
      <c r="C4" s="622"/>
      <c r="D4" s="622"/>
      <c r="E4" s="622"/>
      <c r="F4" s="622"/>
    </row>
    <row r="5" spans="1:8">
      <c r="A5" s="197"/>
      <c r="B5" s="198"/>
      <c r="C5" s="198"/>
    </row>
    <row r="6" spans="1:8" ht="15.75" customHeight="1">
      <c r="A6" s="623" t="s">
        <v>7</v>
      </c>
      <c r="B6" s="623" t="s">
        <v>386</v>
      </c>
      <c r="C6" s="624" t="s">
        <v>387</v>
      </c>
      <c r="D6" s="626" t="s">
        <v>388</v>
      </c>
      <c r="E6" s="627" t="s">
        <v>389</v>
      </c>
      <c r="F6" s="629" t="s">
        <v>390</v>
      </c>
    </row>
    <row r="7" spans="1:8" ht="102" customHeight="1">
      <c r="A7" s="623"/>
      <c r="B7" s="623"/>
      <c r="C7" s="625"/>
      <c r="D7" s="626"/>
      <c r="E7" s="628"/>
      <c r="F7" s="630"/>
    </row>
    <row r="8" spans="1:8">
      <c r="A8" s="201" t="s">
        <v>10</v>
      </c>
      <c r="B8" s="201" t="s">
        <v>11</v>
      </c>
      <c r="C8" s="201"/>
      <c r="D8" s="202">
        <v>1</v>
      </c>
      <c r="E8" s="202"/>
      <c r="F8" s="203"/>
    </row>
    <row r="9" spans="1:8" s="207" customFormat="1" ht="15">
      <c r="A9" s="204"/>
      <c r="B9" s="205" t="s">
        <v>391</v>
      </c>
      <c r="C9" s="205"/>
      <c r="D9" s="206">
        <f>D10+D29+D84</f>
        <v>14079000000</v>
      </c>
      <c r="E9" s="206">
        <f>E10+E29+E84</f>
        <v>1829013924</v>
      </c>
      <c r="F9" s="206">
        <f>F10+F29+F84</f>
        <v>12249986076</v>
      </c>
      <c r="G9" s="207">
        <f>14079-413-1358</f>
        <v>12308</v>
      </c>
      <c r="H9" s="207">
        <f>+G9-6659.908</f>
        <v>5648.0919999999996</v>
      </c>
    </row>
    <row r="10" spans="1:8" s="211" customFormat="1" ht="30">
      <c r="A10" s="208" t="s">
        <v>10</v>
      </c>
      <c r="B10" s="209" t="s">
        <v>392</v>
      </c>
      <c r="C10" s="209"/>
      <c r="D10" s="206">
        <f>+D11+D13+D15+D17+D19+D24</f>
        <v>1140000000</v>
      </c>
      <c r="E10" s="210">
        <f>+E11+E13+E15+E17+E19+E24</f>
        <v>500934198</v>
      </c>
      <c r="F10" s="206">
        <f>+F11+F13+F15+F17+F19+F24</f>
        <v>639065802</v>
      </c>
    </row>
    <row r="11" spans="1:8" s="215" customFormat="1" ht="40.5" customHeight="1">
      <c r="A11" s="212" t="s">
        <v>8</v>
      </c>
      <c r="B11" s="213" t="s">
        <v>393</v>
      </c>
      <c r="C11" s="213"/>
      <c r="D11" s="214">
        <f>+D12</f>
        <v>300000000</v>
      </c>
      <c r="E11" s="214">
        <f>+E12</f>
        <v>0</v>
      </c>
      <c r="F11" s="214">
        <f>+F12</f>
        <v>300000000</v>
      </c>
    </row>
    <row r="12" spans="1:8" s="220" customFormat="1" ht="40.5" customHeight="1">
      <c r="A12" s="216"/>
      <c r="B12" s="217" t="s">
        <v>304</v>
      </c>
      <c r="C12" s="218" t="s">
        <v>394</v>
      </c>
      <c r="D12" s="219">
        <v>300000000</v>
      </c>
      <c r="E12" s="219"/>
      <c r="F12" s="219">
        <f>+D12-E12</f>
        <v>300000000</v>
      </c>
    </row>
    <row r="13" spans="1:8" s="215" customFormat="1" ht="40.5" customHeight="1">
      <c r="A13" s="212" t="s">
        <v>9</v>
      </c>
      <c r="B13" s="213" t="s">
        <v>395</v>
      </c>
      <c r="C13" s="213"/>
      <c r="D13" s="214">
        <f>SUM(D14:D14)</f>
        <v>100000000</v>
      </c>
      <c r="E13" s="214">
        <f>SUM(E14:E14)</f>
        <v>0</v>
      </c>
      <c r="F13" s="214">
        <f>SUM(F14:F14)</f>
        <v>100000000</v>
      </c>
    </row>
    <row r="14" spans="1:8" s="220" customFormat="1" ht="40.5" customHeight="1">
      <c r="A14" s="216"/>
      <c r="B14" s="217" t="s">
        <v>304</v>
      </c>
      <c r="C14" s="218" t="s">
        <v>394</v>
      </c>
      <c r="D14" s="219">
        <v>100000000</v>
      </c>
      <c r="E14" s="219"/>
      <c r="F14" s="219">
        <f t="shared" ref="F14:F77" si="0">+D14-E14</f>
        <v>100000000</v>
      </c>
    </row>
    <row r="15" spans="1:8" s="215" customFormat="1" ht="40.5" customHeight="1">
      <c r="A15" s="212" t="s">
        <v>12</v>
      </c>
      <c r="B15" s="213" t="s">
        <v>396</v>
      </c>
      <c r="C15" s="213"/>
      <c r="D15" s="214">
        <f>+D16</f>
        <v>500000000</v>
      </c>
      <c r="E15" s="214">
        <f>+E16</f>
        <v>341907290</v>
      </c>
      <c r="F15" s="214">
        <f>+F16</f>
        <v>158092710</v>
      </c>
    </row>
    <row r="16" spans="1:8" s="220" customFormat="1" ht="33.75" customHeight="1">
      <c r="A16" s="216"/>
      <c r="B16" s="217" t="s">
        <v>373</v>
      </c>
      <c r="C16" s="221" t="s">
        <v>397</v>
      </c>
      <c r="D16" s="219">
        <v>500000000</v>
      </c>
      <c r="E16" s="219">
        <v>341907290</v>
      </c>
      <c r="F16" s="219">
        <f t="shared" si="0"/>
        <v>158092710</v>
      </c>
    </row>
    <row r="17" spans="1:7" s="215" customFormat="1" ht="40.5" customHeight="1">
      <c r="A17" s="212" t="s">
        <v>13</v>
      </c>
      <c r="B17" s="213" t="s">
        <v>398</v>
      </c>
      <c r="C17" s="213"/>
      <c r="D17" s="214">
        <f>+D18</f>
        <v>50000000</v>
      </c>
      <c r="E17" s="214">
        <f>+E18</f>
        <v>49764000</v>
      </c>
      <c r="F17" s="214">
        <f>+F18</f>
        <v>236000</v>
      </c>
    </row>
    <row r="18" spans="1:7" s="220" customFormat="1" ht="40.5" customHeight="1">
      <c r="A18" s="216"/>
      <c r="B18" s="217" t="s">
        <v>304</v>
      </c>
      <c r="C18" s="221" t="s">
        <v>399</v>
      </c>
      <c r="D18" s="219">
        <v>50000000</v>
      </c>
      <c r="E18" s="219">
        <v>49764000</v>
      </c>
      <c r="F18" s="219">
        <f t="shared" si="0"/>
        <v>236000</v>
      </c>
    </row>
    <row r="19" spans="1:7" s="215" customFormat="1" ht="40.5" customHeight="1">
      <c r="A19" s="212" t="s">
        <v>15</v>
      </c>
      <c r="B19" s="213" t="s">
        <v>400</v>
      </c>
      <c r="C19" s="213"/>
      <c r="D19" s="214">
        <f>SUM(D20:D23)</f>
        <v>90000000</v>
      </c>
      <c r="E19" s="214">
        <f>SUM(E20:E23)</f>
        <v>52330430</v>
      </c>
      <c r="F19" s="214">
        <f>SUM(F20:F23)</f>
        <v>37669570</v>
      </c>
    </row>
    <row r="20" spans="1:7" s="220" customFormat="1">
      <c r="A20" s="216"/>
      <c r="B20" s="217" t="s">
        <v>304</v>
      </c>
      <c r="C20" s="221" t="s">
        <v>399</v>
      </c>
      <c r="D20" s="219">
        <v>30000000</v>
      </c>
      <c r="E20" s="219"/>
      <c r="F20" s="219">
        <f t="shared" si="0"/>
        <v>30000000</v>
      </c>
    </row>
    <row r="21" spans="1:7" s="220" customFormat="1" ht="40.5" customHeight="1">
      <c r="A21" s="216"/>
      <c r="B21" s="217" t="s">
        <v>117</v>
      </c>
      <c r="C21" s="221" t="s">
        <v>399</v>
      </c>
      <c r="D21" s="219">
        <v>20000000</v>
      </c>
      <c r="E21" s="219">
        <v>20000000</v>
      </c>
      <c r="F21" s="219">
        <f t="shared" si="0"/>
        <v>0</v>
      </c>
    </row>
    <row r="22" spans="1:7" s="226" customFormat="1" ht="40.5" customHeight="1">
      <c r="A22" s="222"/>
      <c r="B22" s="223" t="s">
        <v>118</v>
      </c>
      <c r="C22" s="224" t="s">
        <v>399</v>
      </c>
      <c r="D22" s="225">
        <v>20000000</v>
      </c>
      <c r="E22" s="225">
        <v>19980000</v>
      </c>
      <c r="F22" s="225">
        <f t="shared" si="0"/>
        <v>20000</v>
      </c>
    </row>
    <row r="23" spans="1:7" s="220" customFormat="1" ht="40.5" customHeight="1">
      <c r="A23" s="216"/>
      <c r="B23" s="217" t="s">
        <v>116</v>
      </c>
      <c r="C23" s="221" t="s">
        <v>399</v>
      </c>
      <c r="D23" s="219">
        <v>20000000</v>
      </c>
      <c r="E23" s="219">
        <v>12350430</v>
      </c>
      <c r="F23" s="219">
        <f t="shared" si="0"/>
        <v>7649570</v>
      </c>
    </row>
    <row r="24" spans="1:7" s="215" customFormat="1" ht="40.5" customHeight="1">
      <c r="A24" s="212" t="s">
        <v>16</v>
      </c>
      <c r="B24" s="213" t="s">
        <v>401</v>
      </c>
      <c r="C24" s="213"/>
      <c r="D24" s="214">
        <f>SUM(D25:D28)</f>
        <v>100000000</v>
      </c>
      <c r="E24" s="214">
        <f>SUM(E25:E28)</f>
        <v>56932478</v>
      </c>
      <c r="F24" s="214">
        <f>SUM(F25:F28)</f>
        <v>43067522</v>
      </c>
    </row>
    <row r="25" spans="1:7" s="220" customFormat="1" ht="40.5" customHeight="1">
      <c r="A25" s="216"/>
      <c r="B25" s="217" t="s">
        <v>117</v>
      </c>
      <c r="C25" s="221" t="s">
        <v>394</v>
      </c>
      <c r="D25" s="219">
        <v>14000000</v>
      </c>
      <c r="E25" s="219">
        <v>14000000</v>
      </c>
      <c r="F25" s="219">
        <f t="shared" si="0"/>
        <v>0</v>
      </c>
    </row>
    <row r="26" spans="1:7" s="226" customFormat="1" ht="40.5" customHeight="1">
      <c r="A26" s="222"/>
      <c r="B26" s="223" t="s">
        <v>118</v>
      </c>
      <c r="C26" s="227" t="s">
        <v>394</v>
      </c>
      <c r="D26" s="225">
        <v>43000000</v>
      </c>
      <c r="E26" s="225"/>
      <c r="F26" s="225">
        <f t="shared" si="0"/>
        <v>43000000</v>
      </c>
    </row>
    <row r="27" spans="1:7" s="220" customFormat="1">
      <c r="A27" s="216"/>
      <c r="B27" s="217" t="s">
        <v>116</v>
      </c>
      <c r="C27" s="221" t="s">
        <v>402</v>
      </c>
      <c r="D27" s="219">
        <v>9239200</v>
      </c>
      <c r="E27" s="219">
        <v>9239200</v>
      </c>
      <c r="F27" s="219">
        <f t="shared" si="0"/>
        <v>0</v>
      </c>
    </row>
    <row r="28" spans="1:7" s="220" customFormat="1">
      <c r="A28" s="216"/>
      <c r="B28" s="217"/>
      <c r="C28" s="221" t="s">
        <v>403</v>
      </c>
      <c r="D28" s="219">
        <v>33760800</v>
      </c>
      <c r="E28" s="219">
        <v>33693278</v>
      </c>
      <c r="F28" s="219">
        <f t="shared" si="0"/>
        <v>67522</v>
      </c>
    </row>
    <row r="29" spans="1:7" s="211" customFormat="1" ht="15">
      <c r="A29" s="208" t="s">
        <v>11</v>
      </c>
      <c r="B29" s="209" t="s">
        <v>404</v>
      </c>
      <c r="C29" s="209"/>
      <c r="D29" s="206">
        <f>D37+D43+D49+D62+D73+D30</f>
        <v>5202000000</v>
      </c>
      <c r="E29" s="210">
        <f>E37+E43+E49+E62+E73+E30</f>
        <v>732603202</v>
      </c>
      <c r="F29" s="206">
        <f>F37+F43+F49+F62+F73+F30</f>
        <v>4469396798</v>
      </c>
      <c r="G29" s="228">
        <f>+F48+F53+F54+F56+F67+F72+F78+F83+0</f>
        <v>852632478</v>
      </c>
    </row>
    <row r="30" spans="1:7" s="215" customFormat="1" ht="30">
      <c r="A30" s="212" t="s">
        <v>8</v>
      </c>
      <c r="B30" s="213" t="s">
        <v>405</v>
      </c>
      <c r="C30" s="213"/>
      <c r="D30" s="214">
        <f>+D31+0</f>
        <v>1847000000</v>
      </c>
      <c r="E30" s="214">
        <f>+E31+0</f>
        <v>543000000</v>
      </c>
      <c r="F30" s="214">
        <f>+F31+0</f>
        <v>1304000000</v>
      </c>
    </row>
    <row r="31" spans="1:7" s="231" customFormat="1" ht="30">
      <c r="A31" s="229">
        <v>1</v>
      </c>
      <c r="B31" s="230" t="s">
        <v>406</v>
      </c>
      <c r="C31" s="230"/>
      <c r="D31" s="214">
        <f>+D32</f>
        <v>1847000000</v>
      </c>
      <c r="E31" s="214">
        <f>+E32</f>
        <v>543000000</v>
      </c>
      <c r="F31" s="214">
        <f>+F32</f>
        <v>1304000000</v>
      </c>
    </row>
    <row r="32" spans="1:7" s="235" customFormat="1">
      <c r="A32" s="232" t="s">
        <v>407</v>
      </c>
      <c r="B32" s="233" t="s">
        <v>408</v>
      </c>
      <c r="C32" s="233"/>
      <c r="D32" s="234">
        <f>SUM(D33:D35)</f>
        <v>1847000000</v>
      </c>
      <c r="E32" s="234">
        <f>SUM(E33:E35)</f>
        <v>543000000</v>
      </c>
      <c r="F32" s="234">
        <f>SUM(F33:F35)</f>
        <v>1304000000</v>
      </c>
    </row>
    <row r="33" spans="1:6" s="238" customFormat="1">
      <c r="A33" s="236"/>
      <c r="B33" s="217" t="s">
        <v>117</v>
      </c>
      <c r="C33" s="237" t="s">
        <v>409</v>
      </c>
      <c r="D33" s="219">
        <v>543000000</v>
      </c>
      <c r="E33" s="219">
        <v>0</v>
      </c>
      <c r="F33" s="219">
        <f t="shared" si="0"/>
        <v>543000000</v>
      </c>
    </row>
    <row r="34" spans="1:6" s="241" customFormat="1" ht="15" customHeight="1">
      <c r="A34" s="239"/>
      <c r="B34" s="223" t="s">
        <v>118</v>
      </c>
      <c r="C34" s="240" t="s">
        <v>409</v>
      </c>
      <c r="D34" s="225">
        <v>761000000</v>
      </c>
      <c r="E34" s="225">
        <v>0</v>
      </c>
      <c r="F34" s="225">
        <f t="shared" si="0"/>
        <v>761000000</v>
      </c>
    </row>
    <row r="35" spans="1:6" s="238" customFormat="1">
      <c r="A35" s="236"/>
      <c r="B35" s="217" t="s">
        <v>116</v>
      </c>
      <c r="C35" s="242" t="s">
        <v>409</v>
      </c>
      <c r="D35" s="219">
        <v>543000000</v>
      </c>
      <c r="E35" s="219">
        <v>543000000</v>
      </c>
      <c r="F35" s="219">
        <f t="shared" si="0"/>
        <v>0</v>
      </c>
    </row>
    <row r="36" spans="1:6" s="238" customFormat="1">
      <c r="A36" s="236"/>
      <c r="B36" s="243"/>
      <c r="C36" s="243"/>
      <c r="D36" s="219"/>
      <c r="E36" s="219"/>
      <c r="F36" s="219">
        <f t="shared" si="0"/>
        <v>0</v>
      </c>
    </row>
    <row r="37" spans="1:6" s="215" customFormat="1" ht="15">
      <c r="A37" s="212" t="s">
        <v>9</v>
      </c>
      <c r="B37" s="213" t="s">
        <v>410</v>
      </c>
      <c r="C37" s="213"/>
      <c r="D37" s="214">
        <f>+D38</f>
        <v>1479000000</v>
      </c>
      <c r="E37" s="214">
        <f>+E38</f>
        <v>0</v>
      </c>
      <c r="F37" s="214">
        <f>+F38</f>
        <v>1479000000</v>
      </c>
    </row>
    <row r="38" spans="1:6" s="235" customFormat="1" ht="31">
      <c r="A38" s="232" t="s">
        <v>407</v>
      </c>
      <c r="B38" s="233" t="s">
        <v>411</v>
      </c>
      <c r="C38" s="233"/>
      <c r="D38" s="234">
        <f>SUM(D39:D41)</f>
        <v>1479000000</v>
      </c>
      <c r="E38" s="234">
        <f>SUM(E39:E41)</f>
        <v>0</v>
      </c>
      <c r="F38" s="234">
        <f>SUM(F39:F41)</f>
        <v>1479000000</v>
      </c>
    </row>
    <row r="39" spans="1:6" s="238" customFormat="1">
      <c r="A39" s="244"/>
      <c r="B39" s="217" t="s">
        <v>117</v>
      </c>
      <c r="C39" s="237" t="s">
        <v>412</v>
      </c>
      <c r="D39" s="219">
        <v>324000000</v>
      </c>
      <c r="E39" s="219">
        <v>0</v>
      </c>
      <c r="F39" s="219">
        <f>+D39-E39</f>
        <v>324000000</v>
      </c>
    </row>
    <row r="40" spans="1:6" s="241" customFormat="1">
      <c r="A40" s="245"/>
      <c r="B40" s="223" t="s">
        <v>118</v>
      </c>
      <c r="C40" s="240" t="s">
        <v>412</v>
      </c>
      <c r="D40" s="225">
        <v>831000000</v>
      </c>
      <c r="E40" s="225">
        <v>0</v>
      </c>
      <c r="F40" s="225">
        <f t="shared" si="0"/>
        <v>831000000</v>
      </c>
    </row>
    <row r="41" spans="1:6" s="238" customFormat="1">
      <c r="A41" s="244"/>
      <c r="B41" s="217" t="s">
        <v>116</v>
      </c>
      <c r="C41" s="237" t="s">
        <v>412</v>
      </c>
      <c r="D41" s="219">
        <v>324000000</v>
      </c>
      <c r="E41" s="219">
        <v>0</v>
      </c>
      <c r="F41" s="219">
        <f t="shared" si="0"/>
        <v>324000000</v>
      </c>
    </row>
    <row r="42" spans="1:6" s="238" customFormat="1">
      <c r="A42" s="244"/>
      <c r="B42" s="243"/>
      <c r="C42" s="243"/>
      <c r="D42" s="219"/>
      <c r="E42" s="219"/>
      <c r="F42" s="219">
        <f t="shared" si="0"/>
        <v>0</v>
      </c>
    </row>
    <row r="43" spans="1:6" s="215" customFormat="1" ht="15">
      <c r="A43" s="212" t="s">
        <v>12</v>
      </c>
      <c r="B43" s="213" t="s">
        <v>413</v>
      </c>
      <c r="C43" s="213"/>
      <c r="D43" s="214">
        <f>D44</f>
        <v>627000000</v>
      </c>
      <c r="E43" s="214">
        <f>E44</f>
        <v>0</v>
      </c>
      <c r="F43" s="214">
        <f>F44</f>
        <v>627000000</v>
      </c>
    </row>
    <row r="44" spans="1:6" s="235" customFormat="1">
      <c r="A44" s="246">
        <v>1</v>
      </c>
      <c r="B44" s="233" t="s">
        <v>414</v>
      </c>
      <c r="C44" s="233"/>
      <c r="D44" s="234">
        <f>SUM(D45:D48)</f>
        <v>627000000</v>
      </c>
      <c r="E44" s="214">
        <f>SUM(E45:E48)</f>
        <v>0</v>
      </c>
      <c r="F44" s="234">
        <f>SUM(F45:F48)</f>
        <v>627000000</v>
      </c>
    </row>
    <row r="45" spans="1:6" s="220" customFormat="1">
      <c r="A45" s="216"/>
      <c r="B45" s="217" t="s">
        <v>117</v>
      </c>
      <c r="C45" s="218" t="s">
        <v>415</v>
      </c>
      <c r="D45" s="219">
        <v>134000000</v>
      </c>
      <c r="E45" s="219">
        <v>0</v>
      </c>
      <c r="F45" s="219">
        <f t="shared" si="0"/>
        <v>134000000</v>
      </c>
    </row>
    <row r="46" spans="1:6" s="226" customFormat="1">
      <c r="A46" s="222"/>
      <c r="B46" s="223" t="s">
        <v>118</v>
      </c>
      <c r="C46" s="227" t="s">
        <v>415</v>
      </c>
      <c r="D46" s="225">
        <v>346000000</v>
      </c>
      <c r="E46" s="225">
        <v>0</v>
      </c>
      <c r="F46" s="225">
        <f t="shared" si="0"/>
        <v>346000000</v>
      </c>
    </row>
    <row r="47" spans="1:6" s="220" customFormat="1">
      <c r="A47" s="216"/>
      <c r="B47" s="217" t="s">
        <v>116</v>
      </c>
      <c r="C47" s="218" t="s">
        <v>415</v>
      </c>
      <c r="D47" s="219">
        <v>134000000</v>
      </c>
      <c r="E47" s="219">
        <v>0</v>
      </c>
      <c r="F47" s="219">
        <f t="shared" si="0"/>
        <v>134000000</v>
      </c>
    </row>
    <row r="48" spans="1:6" s="220" customFormat="1">
      <c r="A48" s="216"/>
      <c r="B48" s="217" t="s">
        <v>304</v>
      </c>
      <c r="C48" s="247" t="s">
        <v>415</v>
      </c>
      <c r="D48" s="219">
        <v>13000000</v>
      </c>
      <c r="E48" s="219">
        <v>0</v>
      </c>
      <c r="F48" s="219">
        <f t="shared" si="0"/>
        <v>13000000</v>
      </c>
    </row>
    <row r="49" spans="1:6" s="250" customFormat="1" ht="15">
      <c r="A49" s="248" t="s">
        <v>12</v>
      </c>
      <c r="B49" s="249" t="s">
        <v>416</v>
      </c>
      <c r="C49" s="249"/>
      <c r="D49" s="206">
        <f>+D50+D55+D57</f>
        <v>900000000</v>
      </c>
      <c r="E49" s="206">
        <f>+E50+E55+E57</f>
        <v>31000000</v>
      </c>
      <c r="F49" s="206">
        <f>+F50+F55+F57</f>
        <v>869000000</v>
      </c>
    </row>
    <row r="50" spans="1:6" s="215" customFormat="1" ht="28.5" customHeight="1">
      <c r="A50" s="212">
        <v>1</v>
      </c>
      <c r="B50" s="213" t="s">
        <v>417</v>
      </c>
      <c r="C50" s="213"/>
      <c r="D50" s="214">
        <f>D51+D52</f>
        <v>611000000</v>
      </c>
      <c r="E50" s="214">
        <f>E51+E52</f>
        <v>0</v>
      </c>
      <c r="F50" s="214">
        <f>F51+F52</f>
        <v>611000000</v>
      </c>
    </row>
    <row r="51" spans="1:6" s="220" customFormat="1" ht="25.5" customHeight="1">
      <c r="A51" s="216" t="s">
        <v>407</v>
      </c>
      <c r="B51" s="217" t="s">
        <v>418</v>
      </c>
      <c r="C51" s="217"/>
      <c r="D51" s="219"/>
      <c r="E51" s="219"/>
      <c r="F51" s="219">
        <f t="shared" si="0"/>
        <v>0</v>
      </c>
    </row>
    <row r="52" spans="1:6" s="235" customFormat="1" ht="22.5" customHeight="1">
      <c r="A52" s="246" t="s">
        <v>407</v>
      </c>
      <c r="B52" s="233" t="s">
        <v>419</v>
      </c>
      <c r="C52" s="233"/>
      <c r="D52" s="234">
        <f>SUM(D53:D54)</f>
        <v>611000000</v>
      </c>
      <c r="E52" s="214">
        <f>SUM(E53:E54)</f>
        <v>0</v>
      </c>
      <c r="F52" s="234">
        <f>SUM(F53:F54)</f>
        <v>611000000</v>
      </c>
    </row>
    <row r="53" spans="1:6" s="220" customFormat="1" ht="22.5" customHeight="1">
      <c r="A53" s="216"/>
      <c r="B53" s="217" t="s">
        <v>304</v>
      </c>
      <c r="C53" s="218" t="s">
        <v>420</v>
      </c>
      <c r="D53" s="219">
        <v>380000000</v>
      </c>
      <c r="E53" s="219">
        <v>0</v>
      </c>
      <c r="F53" s="219">
        <f t="shared" si="0"/>
        <v>380000000</v>
      </c>
    </row>
    <row r="54" spans="1:6" s="220" customFormat="1" ht="22.5" customHeight="1">
      <c r="A54" s="216"/>
      <c r="B54" s="217" t="s">
        <v>359</v>
      </c>
      <c r="C54" s="218" t="s">
        <v>420</v>
      </c>
      <c r="D54" s="219">
        <v>231000000</v>
      </c>
      <c r="E54" s="219"/>
      <c r="F54" s="219">
        <f t="shared" si="0"/>
        <v>231000000</v>
      </c>
    </row>
    <row r="55" spans="1:6" s="215" customFormat="1" ht="28.5" customHeight="1">
      <c r="A55" s="212">
        <v>2</v>
      </c>
      <c r="B55" s="213" t="s">
        <v>421</v>
      </c>
      <c r="C55" s="213"/>
      <c r="D55" s="214">
        <f>+D56</f>
        <v>187000000</v>
      </c>
      <c r="E55" s="214">
        <f>+E56</f>
        <v>0</v>
      </c>
      <c r="F55" s="214">
        <f>+F56</f>
        <v>187000000</v>
      </c>
    </row>
    <row r="56" spans="1:6" s="220" customFormat="1" ht="28.5" customHeight="1">
      <c r="A56" s="216"/>
      <c r="B56" s="217" t="s">
        <v>379</v>
      </c>
      <c r="C56" s="218" t="s">
        <v>420</v>
      </c>
      <c r="D56" s="219">
        <v>187000000</v>
      </c>
      <c r="E56" s="219"/>
      <c r="F56" s="219">
        <f t="shared" si="0"/>
        <v>187000000</v>
      </c>
    </row>
    <row r="57" spans="1:6" s="215" customFormat="1" ht="15">
      <c r="A57" s="212">
        <v>3</v>
      </c>
      <c r="B57" s="213" t="s">
        <v>422</v>
      </c>
      <c r="C57" s="213"/>
      <c r="D57" s="214">
        <f>SUM(D58:D61)</f>
        <v>102000000</v>
      </c>
      <c r="E57" s="214">
        <f>SUM(E58:E61)</f>
        <v>31000000</v>
      </c>
      <c r="F57" s="214">
        <f>SUM(F58:F61)</f>
        <v>71000000</v>
      </c>
    </row>
    <row r="58" spans="1:6" s="215" customFormat="1">
      <c r="A58" s="216"/>
      <c r="B58" s="217" t="s">
        <v>379</v>
      </c>
      <c r="C58" s="221" t="s">
        <v>420</v>
      </c>
      <c r="D58" s="219">
        <v>10000000</v>
      </c>
      <c r="E58" s="219">
        <v>10000000</v>
      </c>
      <c r="F58" s="219">
        <f t="shared" si="0"/>
        <v>0</v>
      </c>
    </row>
    <row r="59" spans="1:6" s="215" customFormat="1">
      <c r="A59" s="216"/>
      <c r="B59" s="217" t="s">
        <v>117</v>
      </c>
      <c r="C59" s="221" t="s">
        <v>420</v>
      </c>
      <c r="D59" s="219">
        <v>21000000</v>
      </c>
      <c r="E59" s="219">
        <v>21000000</v>
      </c>
      <c r="F59" s="219">
        <f>+D59-E59</f>
        <v>0</v>
      </c>
    </row>
    <row r="60" spans="1:6" s="251" customFormat="1">
      <c r="A60" s="222"/>
      <c r="B60" s="223" t="s">
        <v>118</v>
      </c>
      <c r="C60" s="227" t="s">
        <v>420</v>
      </c>
      <c r="D60" s="225">
        <v>50000000</v>
      </c>
      <c r="E60" s="225">
        <v>0</v>
      </c>
      <c r="F60" s="225">
        <f t="shared" si="0"/>
        <v>50000000</v>
      </c>
    </row>
    <row r="61" spans="1:6" s="215" customFormat="1">
      <c r="A61" s="216"/>
      <c r="B61" s="217" t="s">
        <v>116</v>
      </c>
      <c r="C61" s="218" t="s">
        <v>420</v>
      </c>
      <c r="D61" s="219">
        <v>21000000</v>
      </c>
      <c r="E61" s="219">
        <v>0</v>
      </c>
      <c r="F61" s="219">
        <f t="shared" si="0"/>
        <v>21000000</v>
      </c>
    </row>
    <row r="62" spans="1:6" s="250" customFormat="1" ht="15">
      <c r="A62" s="248" t="s">
        <v>13</v>
      </c>
      <c r="B62" s="249" t="s">
        <v>423</v>
      </c>
      <c r="C62" s="249"/>
      <c r="D62" s="206">
        <f>+D63+D68</f>
        <v>52000000</v>
      </c>
      <c r="E62" s="206">
        <f>+E63+E68</f>
        <v>31904000</v>
      </c>
      <c r="F62" s="206">
        <f>+F63+F68</f>
        <v>20096000</v>
      </c>
    </row>
    <row r="63" spans="1:6" s="215" customFormat="1" ht="22.5" customHeight="1">
      <c r="A63" s="212">
        <v>1</v>
      </c>
      <c r="B63" s="213" t="s">
        <v>424</v>
      </c>
      <c r="C63" s="213"/>
      <c r="D63" s="214">
        <f>SUM(D64:D67)</f>
        <v>24000000</v>
      </c>
      <c r="E63" s="214">
        <f>SUM(E64:E67)</f>
        <v>23948000</v>
      </c>
      <c r="F63" s="214">
        <f>SUM(F64:F67)</f>
        <v>52000</v>
      </c>
    </row>
    <row r="64" spans="1:6" s="220" customFormat="1">
      <c r="A64" s="216"/>
      <c r="B64" s="217" t="s">
        <v>117</v>
      </c>
      <c r="C64" s="221" t="s">
        <v>425</v>
      </c>
      <c r="D64" s="219">
        <v>4000000</v>
      </c>
      <c r="E64" s="219">
        <v>4000000</v>
      </c>
      <c r="F64" s="219">
        <f>+D64-E64</f>
        <v>0</v>
      </c>
    </row>
    <row r="65" spans="1:6" s="226" customFormat="1" ht="22.5" customHeight="1">
      <c r="A65" s="222"/>
      <c r="B65" s="223" t="s">
        <v>118</v>
      </c>
      <c r="C65" s="224" t="s">
        <v>425</v>
      </c>
      <c r="D65" s="225">
        <v>9000000</v>
      </c>
      <c r="E65" s="225">
        <v>9000000</v>
      </c>
      <c r="F65" s="225">
        <f t="shared" si="0"/>
        <v>0</v>
      </c>
    </row>
    <row r="66" spans="1:6" s="220" customFormat="1" ht="22.5" customHeight="1">
      <c r="A66" s="216"/>
      <c r="B66" s="217" t="s">
        <v>116</v>
      </c>
      <c r="C66" s="221" t="s">
        <v>425</v>
      </c>
      <c r="D66" s="219">
        <v>4000000</v>
      </c>
      <c r="E66" s="219">
        <v>4000000</v>
      </c>
      <c r="F66" s="219">
        <f t="shared" si="0"/>
        <v>0</v>
      </c>
    </row>
    <row r="67" spans="1:6" s="220" customFormat="1" ht="22.5" customHeight="1">
      <c r="A67" s="216"/>
      <c r="B67" s="217" t="s">
        <v>426</v>
      </c>
      <c r="C67" s="221" t="s">
        <v>425</v>
      </c>
      <c r="D67" s="219">
        <v>7000000</v>
      </c>
      <c r="E67" s="219">
        <f>7000000-52000</f>
        <v>6948000</v>
      </c>
      <c r="F67" s="219">
        <f t="shared" si="0"/>
        <v>52000</v>
      </c>
    </row>
    <row r="68" spans="1:6" s="215" customFormat="1" ht="24.75" customHeight="1">
      <c r="A68" s="212">
        <v>2</v>
      </c>
      <c r="B68" s="213" t="s">
        <v>427</v>
      </c>
      <c r="C68" s="213"/>
      <c r="D68" s="214">
        <f>SUM(D69:D72)</f>
        <v>28000000</v>
      </c>
      <c r="E68" s="214">
        <f>SUM(E69:E72)</f>
        <v>7956000</v>
      </c>
      <c r="F68" s="214">
        <f>SUM(F69:F72)</f>
        <v>20044000</v>
      </c>
    </row>
    <row r="69" spans="1:6" s="220" customFormat="1">
      <c r="A69" s="216"/>
      <c r="B69" s="217" t="s">
        <v>117</v>
      </c>
      <c r="C69" s="221" t="s">
        <v>425</v>
      </c>
      <c r="D69" s="219">
        <v>4000000</v>
      </c>
      <c r="E69" s="219">
        <v>4000000</v>
      </c>
      <c r="F69" s="219">
        <f>+D69-E69</f>
        <v>0</v>
      </c>
    </row>
    <row r="70" spans="1:6" s="226" customFormat="1">
      <c r="A70" s="222"/>
      <c r="B70" s="223" t="s">
        <v>118</v>
      </c>
      <c r="C70" s="227" t="s">
        <v>425</v>
      </c>
      <c r="D70" s="225">
        <v>12000000</v>
      </c>
      <c r="E70" s="225">
        <v>0</v>
      </c>
      <c r="F70" s="225">
        <f t="shared" si="0"/>
        <v>12000000</v>
      </c>
    </row>
    <row r="71" spans="1:6" s="220" customFormat="1">
      <c r="A71" s="216"/>
      <c r="B71" s="217" t="s">
        <v>116</v>
      </c>
      <c r="C71" s="221" t="s">
        <v>425</v>
      </c>
      <c r="D71" s="219">
        <v>4000000</v>
      </c>
      <c r="E71" s="219">
        <v>3956000</v>
      </c>
      <c r="F71" s="219">
        <f t="shared" si="0"/>
        <v>44000</v>
      </c>
    </row>
    <row r="72" spans="1:6" s="220" customFormat="1">
      <c r="A72" s="216"/>
      <c r="B72" s="217" t="s">
        <v>379</v>
      </c>
      <c r="C72" s="218" t="s">
        <v>425</v>
      </c>
      <c r="D72" s="219">
        <v>8000000</v>
      </c>
      <c r="E72" s="219"/>
      <c r="F72" s="219">
        <f t="shared" si="0"/>
        <v>8000000</v>
      </c>
    </row>
    <row r="73" spans="1:6" s="250" customFormat="1" ht="15">
      <c r="A73" s="248" t="s">
        <v>15</v>
      </c>
      <c r="B73" s="249" t="s">
        <v>428</v>
      </c>
      <c r="C73" s="249"/>
      <c r="D73" s="206">
        <f>+D74+D79</f>
        <v>297000000</v>
      </c>
      <c r="E73" s="206">
        <f>+E74+E79</f>
        <v>126699202</v>
      </c>
      <c r="F73" s="206">
        <f>+F74+F79</f>
        <v>170300798</v>
      </c>
    </row>
    <row r="74" spans="1:6" s="215" customFormat="1" ht="15">
      <c r="A74" s="212">
        <v>1</v>
      </c>
      <c r="B74" s="213" t="s">
        <v>429</v>
      </c>
      <c r="C74" s="213"/>
      <c r="D74" s="214">
        <f>SUM(D75:D78)</f>
        <v>194000000</v>
      </c>
      <c r="E74" s="214">
        <f>SUM(E75:E78)</f>
        <v>59363322</v>
      </c>
      <c r="F74" s="214">
        <f>SUM(F75:F78)</f>
        <v>134636678</v>
      </c>
    </row>
    <row r="75" spans="1:6" s="220" customFormat="1">
      <c r="A75" s="216"/>
      <c r="B75" s="217" t="s">
        <v>117</v>
      </c>
      <c r="C75" s="221" t="s">
        <v>430</v>
      </c>
      <c r="D75" s="219">
        <v>32000000</v>
      </c>
      <c r="E75" s="219"/>
      <c r="F75" s="219">
        <f t="shared" si="0"/>
        <v>32000000</v>
      </c>
    </row>
    <row r="76" spans="1:6" s="226" customFormat="1">
      <c r="A76" s="222"/>
      <c r="B76" s="223" t="s">
        <v>118</v>
      </c>
      <c r="C76" s="224" t="s">
        <v>430</v>
      </c>
      <c r="D76" s="225">
        <v>71000000</v>
      </c>
      <c r="E76" s="225"/>
      <c r="F76" s="225">
        <f t="shared" si="0"/>
        <v>71000000</v>
      </c>
    </row>
    <row r="77" spans="1:6" s="220" customFormat="1">
      <c r="A77" s="216"/>
      <c r="B77" s="217" t="s">
        <v>116</v>
      </c>
      <c r="C77" s="221" t="s">
        <v>430</v>
      </c>
      <c r="D77" s="219">
        <v>33000000</v>
      </c>
      <c r="E77" s="219">
        <v>4623800</v>
      </c>
      <c r="F77" s="219">
        <f t="shared" si="0"/>
        <v>28376200</v>
      </c>
    </row>
    <row r="78" spans="1:6" s="220" customFormat="1">
      <c r="A78" s="216"/>
      <c r="B78" s="217" t="s">
        <v>379</v>
      </c>
      <c r="C78" s="221" t="s">
        <v>430</v>
      </c>
      <c r="D78" s="219">
        <v>58000000</v>
      </c>
      <c r="E78" s="219">
        <v>54739522</v>
      </c>
      <c r="F78" s="219">
        <f t="shared" ref="F78:F138" si="1">+D78-E78</f>
        <v>3260478</v>
      </c>
    </row>
    <row r="79" spans="1:6" s="215" customFormat="1" ht="15">
      <c r="A79" s="212">
        <v>2</v>
      </c>
      <c r="B79" s="213" t="s">
        <v>431</v>
      </c>
      <c r="C79" s="213"/>
      <c r="D79" s="214">
        <f>SUM(D80:D83)</f>
        <v>103000000</v>
      </c>
      <c r="E79" s="214">
        <f>SUM(E80:E83)</f>
        <v>67335880</v>
      </c>
      <c r="F79" s="214">
        <f>SUM(F80:F83)</f>
        <v>35664120</v>
      </c>
    </row>
    <row r="80" spans="1:6" s="220" customFormat="1">
      <c r="A80" s="216"/>
      <c r="B80" s="217" t="s">
        <v>117</v>
      </c>
      <c r="C80" s="221" t="s">
        <v>430</v>
      </c>
      <c r="D80" s="219">
        <v>18000000</v>
      </c>
      <c r="E80" s="219">
        <v>18000000</v>
      </c>
      <c r="F80" s="219">
        <f t="shared" si="1"/>
        <v>0</v>
      </c>
    </row>
    <row r="81" spans="1:7" s="226" customFormat="1">
      <c r="A81" s="222"/>
      <c r="B81" s="223" t="s">
        <v>118</v>
      </c>
      <c r="C81" s="224" t="s">
        <v>430</v>
      </c>
      <c r="D81" s="225">
        <v>36000000</v>
      </c>
      <c r="E81" s="225">
        <v>35255880</v>
      </c>
      <c r="F81" s="225">
        <f t="shared" si="1"/>
        <v>744120</v>
      </c>
    </row>
    <row r="82" spans="1:7" s="220" customFormat="1">
      <c r="A82" s="216"/>
      <c r="B82" s="217" t="s">
        <v>116</v>
      </c>
      <c r="C82" s="221" t="s">
        <v>430</v>
      </c>
      <c r="D82" s="219">
        <v>18000000</v>
      </c>
      <c r="E82" s="219">
        <v>13400000</v>
      </c>
      <c r="F82" s="219">
        <f t="shared" si="1"/>
        <v>4600000</v>
      </c>
    </row>
    <row r="83" spans="1:7" s="220" customFormat="1">
      <c r="A83" s="216"/>
      <c r="B83" s="217" t="s">
        <v>379</v>
      </c>
      <c r="C83" s="221" t="s">
        <v>430</v>
      </c>
      <c r="D83" s="219">
        <v>31000000</v>
      </c>
      <c r="E83" s="219">
        <v>680000</v>
      </c>
      <c r="F83" s="219">
        <f t="shared" si="1"/>
        <v>30320000</v>
      </c>
    </row>
    <row r="84" spans="1:7" s="254" customFormat="1" ht="30">
      <c r="A84" s="252" t="s">
        <v>18</v>
      </c>
      <c r="B84" s="209" t="s">
        <v>432</v>
      </c>
      <c r="C84" s="209"/>
      <c r="D84" s="206">
        <f>D85+D89+D98+D103+D115+D117+D119+D125</f>
        <v>7737000000</v>
      </c>
      <c r="E84" s="206">
        <f>E85+E89+E98+E103+E115+E117+E119+E125</f>
        <v>595476524</v>
      </c>
      <c r="F84" s="206">
        <f>F85+F89+F98+F103+F115+F117+F119+F125</f>
        <v>7141523476</v>
      </c>
      <c r="G84" s="253">
        <f>+F88+F93+F109+F111+F114+F116+F117+F124+F131+F133+F138</f>
        <v>5361517488</v>
      </c>
    </row>
    <row r="85" spans="1:7" s="257" customFormat="1" ht="30">
      <c r="A85" s="255" t="s">
        <v>8</v>
      </c>
      <c r="B85" s="256" t="s">
        <v>433</v>
      </c>
      <c r="C85" s="256"/>
      <c r="D85" s="214">
        <f>SUM(D86:D88)</f>
        <v>765000000</v>
      </c>
      <c r="E85" s="214">
        <f>SUM(E86:E88)</f>
        <v>184392000</v>
      </c>
      <c r="F85" s="214">
        <f>SUM(F86:F88)</f>
        <v>580608000</v>
      </c>
    </row>
    <row r="86" spans="1:7" s="259" customFormat="1">
      <c r="A86" s="258"/>
      <c r="B86" s="223" t="s">
        <v>118</v>
      </c>
      <c r="C86" s="224" t="s">
        <v>434</v>
      </c>
      <c r="D86" s="225">
        <v>63000000</v>
      </c>
      <c r="E86" s="225">
        <v>63000000</v>
      </c>
      <c r="F86" s="225">
        <f t="shared" si="1"/>
        <v>0</v>
      </c>
    </row>
    <row r="87" spans="1:7" s="257" customFormat="1">
      <c r="A87" s="255"/>
      <c r="B87" s="217" t="s">
        <v>116</v>
      </c>
      <c r="C87" s="221" t="s">
        <v>434</v>
      </c>
      <c r="D87" s="219">
        <v>144000000</v>
      </c>
      <c r="E87" s="219">
        <v>121392000</v>
      </c>
      <c r="F87" s="219">
        <f t="shared" si="1"/>
        <v>22608000</v>
      </c>
    </row>
    <row r="88" spans="1:7" s="257" customFormat="1">
      <c r="A88" s="255"/>
      <c r="B88" s="217" t="s">
        <v>359</v>
      </c>
      <c r="C88" s="221"/>
      <c r="D88" s="219">
        <v>558000000</v>
      </c>
      <c r="E88" s="219"/>
      <c r="F88" s="219">
        <f t="shared" si="1"/>
        <v>558000000</v>
      </c>
    </row>
    <row r="89" spans="1:7" s="257" customFormat="1" ht="30">
      <c r="A89" s="255" t="s">
        <v>9</v>
      </c>
      <c r="B89" s="256" t="s">
        <v>435</v>
      </c>
      <c r="C89" s="256"/>
      <c r="D89" s="214">
        <f>+D90+D94</f>
        <v>5674000000</v>
      </c>
      <c r="E89" s="214">
        <f>+E90+E94</f>
        <v>55969500</v>
      </c>
      <c r="F89" s="214">
        <f>+F90+F94</f>
        <v>5618030500</v>
      </c>
    </row>
    <row r="90" spans="1:7" s="262" customFormat="1" ht="42.75" customHeight="1">
      <c r="A90" s="260">
        <v>1</v>
      </c>
      <c r="B90" s="261" t="s">
        <v>436</v>
      </c>
      <c r="C90" s="261"/>
      <c r="D90" s="206">
        <f>SUM(D91:D93)</f>
        <v>4723000000</v>
      </c>
      <c r="E90" s="206">
        <f>SUM(E91:E93)</f>
        <v>55969500</v>
      </c>
      <c r="F90" s="206">
        <f>SUM(F91:F93)</f>
        <v>4667030500</v>
      </c>
    </row>
    <row r="91" spans="1:7" s="265" customFormat="1" ht="37.5" customHeight="1">
      <c r="A91" s="263"/>
      <c r="B91" s="223" t="s">
        <v>118</v>
      </c>
      <c r="C91" s="224" t="s">
        <v>437</v>
      </c>
      <c r="D91" s="264">
        <v>104432000</v>
      </c>
      <c r="E91" s="264">
        <v>12220500</v>
      </c>
      <c r="F91" s="225">
        <f t="shared" si="1"/>
        <v>92211500</v>
      </c>
    </row>
    <row r="92" spans="1:7" s="268" customFormat="1" ht="37.5" customHeight="1">
      <c r="A92" s="266"/>
      <c r="B92" s="217" t="s">
        <v>116</v>
      </c>
      <c r="C92" s="218" t="s">
        <v>437</v>
      </c>
      <c r="D92" s="267">
        <v>499476000</v>
      </c>
      <c r="E92" s="267">
        <v>43749000</v>
      </c>
      <c r="F92" s="219">
        <f t="shared" si="1"/>
        <v>455727000</v>
      </c>
    </row>
    <row r="93" spans="1:7" s="268" customFormat="1" ht="37.5" customHeight="1">
      <c r="A93" s="266"/>
      <c r="B93" s="217" t="s">
        <v>359</v>
      </c>
      <c r="C93" s="221"/>
      <c r="D93" s="267">
        <v>4119092000</v>
      </c>
      <c r="E93" s="267"/>
      <c r="F93" s="219">
        <f t="shared" si="1"/>
        <v>4119092000</v>
      </c>
    </row>
    <row r="94" spans="1:7" s="271" customFormat="1" ht="59.25" customHeight="1">
      <c r="A94" s="269">
        <v>2</v>
      </c>
      <c r="B94" s="270" t="s">
        <v>438</v>
      </c>
      <c r="C94" s="270"/>
      <c r="D94" s="214">
        <f>SUM(D95:D97)</f>
        <v>951000000</v>
      </c>
      <c r="E94" s="214">
        <f>SUM(E95:E97)</f>
        <v>0</v>
      </c>
      <c r="F94" s="214">
        <f>SUM(F95:F97)</f>
        <v>951000000</v>
      </c>
    </row>
    <row r="95" spans="1:7">
      <c r="A95" s="272"/>
      <c r="B95" s="217" t="s">
        <v>117</v>
      </c>
      <c r="C95" s="218" t="s">
        <v>437</v>
      </c>
      <c r="D95" s="219">
        <v>317000000</v>
      </c>
      <c r="E95" s="219">
        <v>0</v>
      </c>
      <c r="F95" s="219">
        <f t="shared" si="1"/>
        <v>317000000</v>
      </c>
    </row>
    <row r="96" spans="1:7" s="274" customFormat="1">
      <c r="A96" s="273"/>
      <c r="B96" s="223" t="s">
        <v>118</v>
      </c>
      <c r="C96" s="227" t="s">
        <v>437</v>
      </c>
      <c r="D96" s="225">
        <v>316000000</v>
      </c>
      <c r="E96" s="225">
        <v>0</v>
      </c>
      <c r="F96" s="225">
        <f t="shared" si="1"/>
        <v>316000000</v>
      </c>
    </row>
    <row r="97" spans="1:6">
      <c r="A97" s="272"/>
      <c r="B97" s="217" t="s">
        <v>116</v>
      </c>
      <c r="C97" s="218" t="s">
        <v>437</v>
      </c>
      <c r="D97" s="219">
        <v>318000000</v>
      </c>
      <c r="E97" s="219">
        <v>0</v>
      </c>
      <c r="F97" s="219">
        <f t="shared" si="1"/>
        <v>318000000</v>
      </c>
    </row>
    <row r="98" spans="1:6" s="257" customFormat="1" ht="45">
      <c r="A98" s="255" t="s">
        <v>12</v>
      </c>
      <c r="B98" s="256" t="s">
        <v>439</v>
      </c>
      <c r="C98" s="256"/>
      <c r="D98" s="214">
        <f>D99</f>
        <v>367000000</v>
      </c>
      <c r="E98" s="214">
        <f>E99</f>
        <v>123000000</v>
      </c>
      <c r="F98" s="219">
        <f t="shared" si="1"/>
        <v>244000000</v>
      </c>
    </row>
    <row r="99" spans="1:6" s="271" customFormat="1" ht="30">
      <c r="A99" s="269">
        <v>1</v>
      </c>
      <c r="B99" s="270" t="s">
        <v>440</v>
      </c>
      <c r="C99" s="270"/>
      <c r="D99" s="214">
        <f>SUM(D100:D102)</f>
        <v>367000000</v>
      </c>
      <c r="E99" s="214">
        <f>SUM(E100:E102)</f>
        <v>123000000</v>
      </c>
      <c r="F99" s="219">
        <f t="shared" si="1"/>
        <v>244000000</v>
      </c>
    </row>
    <row r="100" spans="1:6">
      <c r="A100" s="272"/>
      <c r="B100" s="217" t="s">
        <v>117</v>
      </c>
      <c r="C100" s="218" t="s">
        <v>441</v>
      </c>
      <c r="D100" s="219">
        <v>122000000</v>
      </c>
      <c r="E100" s="219">
        <v>0</v>
      </c>
      <c r="F100" s="219">
        <f t="shared" si="1"/>
        <v>122000000</v>
      </c>
    </row>
    <row r="101" spans="1:6" s="274" customFormat="1">
      <c r="A101" s="273"/>
      <c r="B101" s="223" t="s">
        <v>118</v>
      </c>
      <c r="C101" s="227" t="s">
        <v>441</v>
      </c>
      <c r="D101" s="225">
        <v>122000000</v>
      </c>
      <c r="E101" s="225">
        <v>0</v>
      </c>
      <c r="F101" s="225">
        <f t="shared" si="1"/>
        <v>122000000</v>
      </c>
    </row>
    <row r="102" spans="1:6">
      <c r="A102" s="272"/>
      <c r="B102" s="217" t="s">
        <v>116</v>
      </c>
      <c r="C102" s="218" t="s">
        <v>441</v>
      </c>
      <c r="D102" s="219">
        <v>123000000</v>
      </c>
      <c r="E102" s="219">
        <v>123000000</v>
      </c>
      <c r="F102" s="219">
        <f t="shared" si="1"/>
        <v>0</v>
      </c>
    </row>
    <row r="103" spans="1:6" s="257" customFormat="1" ht="15">
      <c r="A103" s="255" t="s">
        <v>13</v>
      </c>
      <c r="B103" s="256" t="s">
        <v>442</v>
      </c>
      <c r="C103" s="256"/>
      <c r="D103" s="214">
        <f>+D104+D108+D111+D113</f>
        <v>573000000</v>
      </c>
      <c r="E103" s="214">
        <f>+E104+E108+E111+E113</f>
        <v>45349712</v>
      </c>
      <c r="F103" s="214">
        <f>+F104+F108+F111+F113</f>
        <v>527650288</v>
      </c>
    </row>
    <row r="104" spans="1:6" s="271" customFormat="1" ht="60">
      <c r="A104" s="269">
        <v>1</v>
      </c>
      <c r="B104" s="270" t="s">
        <v>443</v>
      </c>
      <c r="C104" s="270"/>
      <c r="D104" s="275">
        <f>SUM(D105:D107)</f>
        <v>13000000</v>
      </c>
      <c r="E104" s="275">
        <f>SUM(E105:E107)</f>
        <v>7992640</v>
      </c>
      <c r="F104" s="275">
        <f>SUM(F105:F107)</f>
        <v>5007360</v>
      </c>
    </row>
    <row r="105" spans="1:6" s="279" customFormat="1">
      <c r="A105" s="276"/>
      <c r="B105" s="217" t="s">
        <v>117</v>
      </c>
      <c r="C105" s="277" t="s">
        <v>444</v>
      </c>
      <c r="D105" s="278">
        <v>4000000</v>
      </c>
      <c r="E105" s="278">
        <v>4000000</v>
      </c>
      <c r="F105" s="219">
        <f t="shared" si="1"/>
        <v>0</v>
      </c>
    </row>
    <row r="106" spans="1:6" s="283" customFormat="1">
      <c r="A106" s="280"/>
      <c r="B106" s="223" t="s">
        <v>118</v>
      </c>
      <c r="C106" s="281" t="s">
        <v>444</v>
      </c>
      <c r="D106" s="282">
        <v>5000000</v>
      </c>
      <c r="E106" s="282">
        <v>0</v>
      </c>
      <c r="F106" s="225">
        <f t="shared" si="1"/>
        <v>5000000</v>
      </c>
    </row>
    <row r="107" spans="1:6" s="279" customFormat="1">
      <c r="A107" s="276"/>
      <c r="B107" s="217" t="s">
        <v>116</v>
      </c>
      <c r="C107" s="277" t="s">
        <v>444</v>
      </c>
      <c r="D107" s="278">
        <v>4000000</v>
      </c>
      <c r="E107" s="278">
        <v>3992640</v>
      </c>
      <c r="F107" s="219">
        <f t="shared" si="1"/>
        <v>7360</v>
      </c>
    </row>
    <row r="108" spans="1:6" s="271" customFormat="1" ht="45">
      <c r="A108" s="269">
        <v>2</v>
      </c>
      <c r="B108" s="270" t="s">
        <v>445</v>
      </c>
      <c r="C108" s="270"/>
      <c r="D108" s="275">
        <f>+D109</f>
        <v>55000000</v>
      </c>
      <c r="E108" s="275">
        <f>+E109</f>
        <v>0</v>
      </c>
      <c r="F108" s="219">
        <f t="shared" si="1"/>
        <v>55000000</v>
      </c>
    </row>
    <row r="109" spans="1:6" s="286" customFormat="1">
      <c r="A109" s="284"/>
      <c r="B109" s="217" t="s">
        <v>359</v>
      </c>
      <c r="C109" s="285"/>
      <c r="D109" s="278">
        <v>55000000</v>
      </c>
      <c r="E109" s="278"/>
      <c r="F109" s="219">
        <f t="shared" si="1"/>
        <v>55000000</v>
      </c>
    </row>
    <row r="110" spans="1:6" s="286" customFormat="1">
      <c r="A110" s="284"/>
      <c r="B110" s="285"/>
      <c r="C110" s="285"/>
      <c r="D110" s="278"/>
      <c r="E110" s="278"/>
      <c r="F110" s="219">
        <f t="shared" si="1"/>
        <v>0</v>
      </c>
    </row>
    <row r="111" spans="1:6" s="271" customFormat="1" ht="41.25" customHeight="1">
      <c r="A111" s="269">
        <v>3</v>
      </c>
      <c r="B111" s="270" t="s">
        <v>446</v>
      </c>
      <c r="C111" s="270"/>
      <c r="D111" s="275">
        <f>+D112</f>
        <v>454000000</v>
      </c>
      <c r="E111" s="275">
        <f>+E112</f>
        <v>0</v>
      </c>
      <c r="F111" s="219">
        <f t="shared" si="1"/>
        <v>454000000</v>
      </c>
    </row>
    <row r="112" spans="1:6" s="279" customFormat="1" ht="41.25" customHeight="1">
      <c r="A112" s="276"/>
      <c r="B112" s="217" t="s">
        <v>359</v>
      </c>
      <c r="C112" s="287"/>
      <c r="D112" s="278">
        <v>454000000</v>
      </c>
      <c r="E112" s="278"/>
      <c r="F112" s="219">
        <f t="shared" si="1"/>
        <v>454000000</v>
      </c>
    </row>
    <row r="113" spans="1:6" s="271" customFormat="1" ht="44.25" customHeight="1">
      <c r="A113" s="269">
        <v>4</v>
      </c>
      <c r="B113" s="270" t="s">
        <v>447</v>
      </c>
      <c r="C113" s="270"/>
      <c r="D113" s="275">
        <f>+D114</f>
        <v>51000000</v>
      </c>
      <c r="E113" s="275">
        <f>+E114</f>
        <v>37357072</v>
      </c>
      <c r="F113" s="275">
        <f>+F114</f>
        <v>13642928</v>
      </c>
    </row>
    <row r="114" spans="1:6" s="279" customFormat="1" ht="44.25" customHeight="1">
      <c r="A114" s="276"/>
      <c r="B114" s="287" t="s">
        <v>448</v>
      </c>
      <c r="C114" s="277" t="s">
        <v>444</v>
      </c>
      <c r="D114" s="278">
        <v>51000000</v>
      </c>
      <c r="E114" s="278">
        <v>37357072</v>
      </c>
      <c r="F114" s="219">
        <f>+D114-E114</f>
        <v>13642928</v>
      </c>
    </row>
    <row r="115" spans="1:6" s="257" customFormat="1" ht="39" customHeight="1">
      <c r="A115" s="255" t="s">
        <v>15</v>
      </c>
      <c r="B115" s="256" t="s">
        <v>449</v>
      </c>
      <c r="C115" s="256"/>
      <c r="D115" s="275">
        <f>+D116</f>
        <v>56000000</v>
      </c>
      <c r="E115" s="275">
        <f>+E116</f>
        <v>54745040</v>
      </c>
      <c r="F115" s="275">
        <f>+F116</f>
        <v>1254960</v>
      </c>
    </row>
    <row r="116" spans="1:6" s="279" customFormat="1" ht="44.25" customHeight="1">
      <c r="A116" s="276"/>
      <c r="B116" s="287" t="s">
        <v>381</v>
      </c>
      <c r="C116" s="277" t="s">
        <v>450</v>
      </c>
      <c r="D116" s="278">
        <v>56000000</v>
      </c>
      <c r="E116" s="278">
        <v>54745040</v>
      </c>
      <c r="F116" s="219">
        <f t="shared" si="1"/>
        <v>1254960</v>
      </c>
    </row>
    <row r="117" spans="1:6" s="257" customFormat="1" ht="39" customHeight="1">
      <c r="A117" s="255" t="s">
        <v>16</v>
      </c>
      <c r="B117" s="256" t="s">
        <v>451</v>
      </c>
      <c r="C117" s="256"/>
      <c r="D117" s="275">
        <f>+D118</f>
        <v>139000000</v>
      </c>
      <c r="E117" s="275">
        <f>+E118</f>
        <v>0</v>
      </c>
      <c r="F117" s="219">
        <f t="shared" si="1"/>
        <v>139000000</v>
      </c>
    </row>
    <row r="118" spans="1:6" s="279" customFormat="1">
      <c r="A118" s="276"/>
      <c r="B118" s="287" t="s">
        <v>452</v>
      </c>
      <c r="C118" s="277" t="s">
        <v>453</v>
      </c>
      <c r="D118" s="278">
        <v>139000000</v>
      </c>
      <c r="E118" s="278"/>
      <c r="F118" s="219">
        <f t="shared" si="1"/>
        <v>139000000</v>
      </c>
    </row>
    <row r="119" spans="1:6" s="257" customFormat="1" ht="40.5" customHeight="1">
      <c r="A119" s="255" t="s">
        <v>17</v>
      </c>
      <c r="B119" s="256" t="s">
        <v>454</v>
      </c>
      <c r="C119" s="256"/>
      <c r="D119" s="275">
        <f>D120</f>
        <v>62000000</v>
      </c>
      <c r="E119" s="275">
        <f>E120</f>
        <v>58859040</v>
      </c>
      <c r="F119" s="275">
        <f>F120</f>
        <v>3140960</v>
      </c>
    </row>
    <row r="120" spans="1:6" s="271" customFormat="1" ht="42.75" customHeight="1">
      <c r="A120" s="269">
        <v>1</v>
      </c>
      <c r="B120" s="288" t="s">
        <v>455</v>
      </c>
      <c r="C120" s="288"/>
      <c r="D120" s="275">
        <f>SUM(D121:D124)</f>
        <v>62000000</v>
      </c>
      <c r="E120" s="275">
        <f>SUM(E121:E124)</f>
        <v>58859040</v>
      </c>
      <c r="F120" s="275">
        <f>SUM(F121:F124)</f>
        <v>3140960</v>
      </c>
    </row>
    <row r="121" spans="1:6" s="279" customFormat="1" ht="21.75" customHeight="1">
      <c r="A121" s="276"/>
      <c r="B121" s="217" t="s">
        <v>117</v>
      </c>
      <c r="C121" s="289" t="s">
        <v>456</v>
      </c>
      <c r="D121" s="278">
        <v>11000000</v>
      </c>
      <c r="E121" s="278">
        <v>11000000</v>
      </c>
      <c r="F121" s="219">
        <f t="shared" si="1"/>
        <v>0</v>
      </c>
    </row>
    <row r="122" spans="1:6" s="283" customFormat="1" ht="21.75" customHeight="1">
      <c r="A122" s="280"/>
      <c r="B122" s="223" t="s">
        <v>118</v>
      </c>
      <c r="C122" s="290" t="s">
        <v>456</v>
      </c>
      <c r="D122" s="282">
        <v>11000000</v>
      </c>
      <c r="E122" s="282">
        <v>7898200</v>
      </c>
      <c r="F122" s="225">
        <f t="shared" si="1"/>
        <v>3101800</v>
      </c>
    </row>
    <row r="123" spans="1:6" s="279" customFormat="1" ht="21.75" customHeight="1">
      <c r="A123" s="276"/>
      <c r="B123" s="217" t="s">
        <v>116</v>
      </c>
      <c r="C123" s="289" t="s">
        <v>456</v>
      </c>
      <c r="D123" s="278">
        <v>11000000</v>
      </c>
      <c r="E123" s="278">
        <v>10967240</v>
      </c>
      <c r="F123" s="219">
        <f t="shared" si="1"/>
        <v>32760</v>
      </c>
    </row>
    <row r="124" spans="1:6" s="279" customFormat="1" ht="21.75" customHeight="1">
      <c r="A124" s="276"/>
      <c r="B124" s="287" t="s">
        <v>448</v>
      </c>
      <c r="C124" s="289" t="s">
        <v>456</v>
      </c>
      <c r="D124" s="278">
        <v>29000000</v>
      </c>
      <c r="E124" s="278">
        <v>28993600</v>
      </c>
      <c r="F124" s="219">
        <f t="shared" si="1"/>
        <v>6400</v>
      </c>
    </row>
    <row r="125" spans="1:6" s="254" customFormat="1" ht="51.75" customHeight="1">
      <c r="A125" s="252" t="s">
        <v>457</v>
      </c>
      <c r="B125" s="291" t="s">
        <v>458</v>
      </c>
      <c r="C125" s="291"/>
      <c r="D125" s="292">
        <f>D126+D132+D134</f>
        <v>101000000</v>
      </c>
      <c r="E125" s="292">
        <f>E126+E132+E134</f>
        <v>73161232</v>
      </c>
      <c r="F125" s="292">
        <f>F126+F132+F134</f>
        <v>27838768</v>
      </c>
    </row>
    <row r="126" spans="1:6" s="271" customFormat="1" ht="83.25" customHeight="1">
      <c r="A126" s="269">
        <v>1</v>
      </c>
      <c r="B126" s="270" t="s">
        <v>459</v>
      </c>
      <c r="C126" s="270"/>
      <c r="D126" s="275">
        <f>SUM(D127:D131)</f>
        <v>71000000</v>
      </c>
      <c r="E126" s="275">
        <f>SUM(E127:E131)</f>
        <v>66601232</v>
      </c>
      <c r="F126" s="275">
        <f>SUM(F127:F131)</f>
        <v>4398768</v>
      </c>
    </row>
    <row r="127" spans="1:6" s="279" customFormat="1">
      <c r="A127" s="276"/>
      <c r="B127" s="217" t="s">
        <v>117</v>
      </c>
      <c r="C127" s="277" t="s">
        <v>460</v>
      </c>
      <c r="D127" s="278">
        <v>10000000</v>
      </c>
      <c r="E127" s="278">
        <v>10000000</v>
      </c>
      <c r="F127" s="219">
        <f t="shared" si="1"/>
        <v>0</v>
      </c>
    </row>
    <row r="128" spans="1:6" s="283" customFormat="1">
      <c r="A128" s="280"/>
      <c r="B128" s="223" t="s">
        <v>118</v>
      </c>
      <c r="C128" s="293" t="s">
        <v>460</v>
      </c>
      <c r="D128" s="282">
        <v>19000000</v>
      </c>
      <c r="E128" s="282">
        <v>15840000</v>
      </c>
      <c r="F128" s="225">
        <f t="shared" si="1"/>
        <v>3160000</v>
      </c>
    </row>
    <row r="129" spans="1:11" s="279" customFormat="1">
      <c r="A129" s="276"/>
      <c r="B129" s="217" t="s">
        <v>116</v>
      </c>
      <c r="C129" s="277" t="s">
        <v>460</v>
      </c>
      <c r="D129" s="278">
        <v>10000000</v>
      </c>
      <c r="E129" s="278">
        <v>9962432</v>
      </c>
      <c r="F129" s="219">
        <f t="shared" si="1"/>
        <v>37568</v>
      </c>
    </row>
    <row r="130" spans="1:11" s="279" customFormat="1">
      <c r="A130" s="276"/>
      <c r="B130" s="217" t="s">
        <v>351</v>
      </c>
      <c r="C130" s="277" t="s">
        <v>460</v>
      </c>
      <c r="D130" s="278">
        <v>4000000</v>
      </c>
      <c r="E130" s="278">
        <v>4000000</v>
      </c>
      <c r="F130" s="219">
        <f t="shared" si="1"/>
        <v>0</v>
      </c>
    </row>
    <row r="131" spans="1:11" s="279" customFormat="1" ht="21.75" customHeight="1">
      <c r="A131" s="276"/>
      <c r="B131" s="287" t="s">
        <v>448</v>
      </c>
      <c r="C131" s="277" t="s">
        <v>460</v>
      </c>
      <c r="D131" s="278">
        <v>28000000</v>
      </c>
      <c r="E131" s="294">
        <v>26798800</v>
      </c>
      <c r="F131" s="219">
        <f t="shared" si="1"/>
        <v>1201200</v>
      </c>
    </row>
    <row r="132" spans="1:11" s="271" customFormat="1" ht="44.25" customHeight="1">
      <c r="A132" s="269">
        <v>2</v>
      </c>
      <c r="B132" s="270" t="s">
        <v>461</v>
      </c>
      <c r="C132" s="270"/>
      <c r="D132" s="214">
        <f>+D133</f>
        <v>11000000</v>
      </c>
      <c r="E132" s="214">
        <f>+E133</f>
        <v>0</v>
      </c>
      <c r="F132" s="214">
        <f>+F133</f>
        <v>11000000</v>
      </c>
    </row>
    <row r="133" spans="1:11" s="279" customFormat="1" ht="44.25" customHeight="1">
      <c r="A133" s="295"/>
      <c r="B133" s="296" t="s">
        <v>381</v>
      </c>
      <c r="C133" s="297" t="s">
        <v>460</v>
      </c>
      <c r="D133" s="298">
        <v>11000000</v>
      </c>
      <c r="E133" s="298">
        <v>0</v>
      </c>
      <c r="F133" s="219">
        <f t="shared" si="1"/>
        <v>11000000</v>
      </c>
    </row>
    <row r="134" spans="1:11" s="271" customFormat="1" ht="50.25" customHeight="1">
      <c r="A134" s="299">
        <v>3</v>
      </c>
      <c r="B134" s="300" t="s">
        <v>462</v>
      </c>
      <c r="C134" s="300"/>
      <c r="D134" s="301">
        <f>SUM(D135:D138)</f>
        <v>19000000</v>
      </c>
      <c r="E134" s="301">
        <f>SUM(E135:E138)</f>
        <v>6560000</v>
      </c>
      <c r="F134" s="301">
        <f>SUM(F135:F138)</f>
        <v>12440000</v>
      </c>
    </row>
    <row r="135" spans="1:11" s="279" customFormat="1" ht="18">
      <c r="A135" s="276"/>
      <c r="B135" s="217" t="s">
        <v>117</v>
      </c>
      <c r="C135" s="277" t="s">
        <v>460</v>
      </c>
      <c r="D135" s="278">
        <v>3000000</v>
      </c>
      <c r="E135" s="278">
        <v>3000000</v>
      </c>
      <c r="F135" s="219">
        <f t="shared" si="1"/>
        <v>0</v>
      </c>
      <c r="I135" s="302">
        <v>796.53268800000001</v>
      </c>
      <c r="J135" s="279">
        <v>796.37511999999992</v>
      </c>
      <c r="K135" s="303">
        <f>+I135-J135</f>
        <v>0.15756800000008298</v>
      </c>
    </row>
    <row r="136" spans="1:11" s="283" customFormat="1">
      <c r="A136" s="280"/>
      <c r="B136" s="223" t="s">
        <v>118</v>
      </c>
      <c r="C136" s="281" t="s">
        <v>460</v>
      </c>
      <c r="D136" s="282">
        <v>3000000</v>
      </c>
      <c r="E136" s="282"/>
      <c r="F136" s="225">
        <f t="shared" si="1"/>
        <v>3000000</v>
      </c>
    </row>
    <row r="137" spans="1:11" s="279" customFormat="1">
      <c r="A137" s="276"/>
      <c r="B137" s="217" t="s">
        <v>116</v>
      </c>
      <c r="C137" s="277" t="s">
        <v>460</v>
      </c>
      <c r="D137" s="278">
        <v>3000000</v>
      </c>
      <c r="E137" s="278">
        <v>2880000</v>
      </c>
      <c r="F137" s="219">
        <f t="shared" si="1"/>
        <v>120000</v>
      </c>
      <c r="I137" s="304">
        <f>+F137+F129+F123+F107+F102+F92+F87+F97</f>
        <v>796532688</v>
      </c>
    </row>
    <row r="138" spans="1:11" s="279" customFormat="1" ht="21.75" customHeight="1">
      <c r="A138" s="276"/>
      <c r="B138" s="287" t="s">
        <v>448</v>
      </c>
      <c r="C138" s="277" t="s">
        <v>460</v>
      </c>
      <c r="D138" s="278">
        <v>10000000</v>
      </c>
      <c r="E138" s="294">
        <v>680000</v>
      </c>
      <c r="F138" s="219">
        <f t="shared" si="1"/>
        <v>9320000</v>
      </c>
    </row>
  </sheetData>
  <mergeCells count="9">
    <mergeCell ref="A2:F2"/>
    <mergeCell ref="A3:F3"/>
    <mergeCell ref="A4:F4"/>
    <mergeCell ref="A6:A7"/>
    <mergeCell ref="B6:B7"/>
    <mergeCell ref="C6:C7"/>
    <mergeCell ref="D6:D7"/>
    <mergeCell ref="E6:E7"/>
    <mergeCell ref="F6:F7"/>
  </mergeCells>
  <printOptions horizontalCentered="1"/>
  <pageMargins left="0" right="0" top="0.19685039370078741" bottom="0.29527559055118113" header="0.24" footer="0.31496062992125984"/>
  <pageSetup paperSize="9" scale="85" orientation="landscape" verticalDpi="0"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5"/>
  <sheetViews>
    <sheetView workbookViewId="0">
      <selection sqref="A1:A103"/>
    </sheetView>
  </sheetViews>
  <sheetFormatPr defaultRowHeight="12.5"/>
  <cols>
    <col min="1" max="1" width="106" bestFit="1" customWidth="1"/>
  </cols>
  <sheetData>
    <row r="1" spans="1:1" ht="13">
      <c r="A1" s="320"/>
    </row>
    <row r="2" spans="1:1" ht="13">
      <c r="A2" s="320"/>
    </row>
    <row r="3" spans="1:1" ht="13">
      <c r="A3" s="320"/>
    </row>
    <row r="4" spans="1:1" ht="13">
      <c r="A4" s="320"/>
    </row>
    <row r="5" spans="1:1" ht="13">
      <c r="A5" s="320"/>
    </row>
    <row r="6" spans="1:1" ht="13">
      <c r="A6" s="320"/>
    </row>
    <row r="7" spans="1:1" ht="13">
      <c r="A7" s="320"/>
    </row>
    <row r="8" spans="1:1" ht="13">
      <c r="A8" s="320"/>
    </row>
    <row r="9" spans="1:1" ht="13">
      <c r="A9" s="320"/>
    </row>
    <row r="10" spans="1:1" ht="13">
      <c r="A10" s="320"/>
    </row>
    <row r="11" spans="1:1" ht="13">
      <c r="A11" s="320"/>
    </row>
    <row r="12" spans="1:1" ht="13">
      <c r="A12" s="320"/>
    </row>
    <row r="13" spans="1:1" ht="13">
      <c r="A13" s="320"/>
    </row>
    <row r="14" spans="1:1" ht="13">
      <c r="A14" s="320"/>
    </row>
    <row r="15" spans="1:1" ht="13">
      <c r="A15" s="320"/>
    </row>
    <row r="16" spans="1:1" ht="13">
      <c r="A16" s="320"/>
    </row>
    <row r="17" spans="1:1" ht="13">
      <c r="A17" s="320"/>
    </row>
    <row r="18" spans="1:1" ht="13">
      <c r="A18" s="320"/>
    </row>
    <row r="19" spans="1:1" ht="13">
      <c r="A19" s="320"/>
    </row>
    <row r="20" spans="1:1" ht="13">
      <c r="A20" s="321"/>
    </row>
    <row r="21" spans="1:1" ht="13">
      <c r="A21" s="320"/>
    </row>
    <row r="22" spans="1:1" ht="13">
      <c r="A22" s="321"/>
    </row>
    <row r="23" spans="1:1" ht="13">
      <c r="A23" s="320"/>
    </row>
    <row r="24" spans="1:1" ht="13">
      <c r="A24" s="321"/>
    </row>
    <row r="25" spans="1:1">
      <c r="A25" s="322"/>
    </row>
    <row r="26" spans="1:1">
      <c r="A26" s="323"/>
    </row>
    <row r="27" spans="1:1">
      <c r="A27" s="323"/>
    </row>
    <row r="28" spans="1:1">
      <c r="A28" s="322"/>
    </row>
    <row r="29" spans="1:1">
      <c r="A29" s="323"/>
    </row>
    <row r="30" spans="1:1">
      <c r="A30" s="323"/>
    </row>
    <row r="31" spans="1:1">
      <c r="A31" s="322"/>
    </row>
    <row r="32" spans="1:1">
      <c r="A32" s="323"/>
    </row>
    <row r="33" spans="1:1">
      <c r="A33" s="323"/>
    </row>
    <row r="34" spans="1:1">
      <c r="A34" s="322"/>
    </row>
    <row r="35" spans="1:1">
      <c r="A35" s="323"/>
    </row>
    <row r="36" spans="1:1">
      <c r="A36" s="323"/>
    </row>
    <row r="37" spans="1:1">
      <c r="A37" s="322"/>
    </row>
    <row r="38" spans="1:1">
      <c r="A38" s="323"/>
    </row>
    <row r="39" spans="1:1">
      <c r="A39" s="322"/>
    </row>
    <row r="40" spans="1:1">
      <c r="A40" s="323"/>
    </row>
    <row r="41" spans="1:1">
      <c r="A41" s="322"/>
    </row>
    <row r="42" spans="1:1" ht="13">
      <c r="A42" s="119"/>
    </row>
    <row r="43" spans="1:1">
      <c r="A43" s="322"/>
    </row>
    <row r="44" spans="1:1" ht="13">
      <c r="A44" s="119"/>
    </row>
    <row r="45" spans="1:1">
      <c r="A45" s="322"/>
    </row>
    <row r="46" spans="1:1">
      <c r="A46" s="323"/>
    </row>
    <row r="47" spans="1:1">
      <c r="A47" s="322"/>
    </row>
    <row r="48" spans="1:1">
      <c r="A48" s="323"/>
    </row>
    <row r="49" spans="1:1">
      <c r="A49" s="322"/>
    </row>
    <row r="50" spans="1:1" ht="13">
      <c r="A50" s="119"/>
    </row>
    <row r="51" spans="1:1">
      <c r="A51" s="322"/>
    </row>
    <row r="52" spans="1:1" ht="13">
      <c r="A52" s="119"/>
    </row>
    <row r="53" spans="1:1">
      <c r="A53" s="322"/>
    </row>
    <row r="54" spans="1:1" ht="13">
      <c r="A54" s="119"/>
    </row>
    <row r="55" spans="1:1">
      <c r="A55" s="322"/>
    </row>
    <row r="56" spans="1:1" ht="13">
      <c r="A56" s="119"/>
    </row>
    <row r="57" spans="1:1">
      <c r="A57" s="322"/>
    </row>
    <row r="58" spans="1:1">
      <c r="A58" s="323"/>
    </row>
    <row r="59" spans="1:1">
      <c r="A59" s="322"/>
    </row>
    <row r="60" spans="1:1">
      <c r="A60" s="323"/>
    </row>
    <row r="61" spans="1:1">
      <c r="A61" s="322"/>
    </row>
    <row r="62" spans="1:1">
      <c r="A62" s="323"/>
    </row>
    <row r="63" spans="1:1">
      <c r="A63" s="322"/>
    </row>
    <row r="64" spans="1:1">
      <c r="A64" s="323"/>
    </row>
    <row r="65" spans="1:1">
      <c r="A65" s="322"/>
    </row>
    <row r="66" spans="1:1">
      <c r="A66" s="323"/>
    </row>
    <row r="67" spans="1:1">
      <c r="A67" s="322"/>
    </row>
    <row r="68" spans="1:1">
      <c r="A68" s="323"/>
    </row>
    <row r="69" spans="1:1">
      <c r="A69" s="323"/>
    </row>
    <row r="70" spans="1:1">
      <c r="A70" s="322"/>
    </row>
    <row r="71" spans="1:1">
      <c r="A71" s="323"/>
    </row>
    <row r="72" spans="1:1">
      <c r="A72" s="322"/>
    </row>
    <row r="73" spans="1:1">
      <c r="A73" s="323"/>
    </row>
    <row r="74" spans="1:1">
      <c r="A74" s="322"/>
    </row>
    <row r="75" spans="1:1">
      <c r="A75" s="323"/>
    </row>
    <row r="76" spans="1:1">
      <c r="A76" s="322"/>
    </row>
    <row r="77" spans="1:1">
      <c r="A77" s="323"/>
    </row>
    <row r="78" spans="1:1">
      <c r="A78" s="322"/>
    </row>
    <row r="79" spans="1:1">
      <c r="A79" s="323"/>
    </row>
    <row r="80" spans="1:1">
      <c r="A80" s="322"/>
    </row>
    <row r="81" spans="1:1">
      <c r="A81" s="323"/>
    </row>
    <row r="82" spans="1:1" ht="13">
      <c r="A82" s="320"/>
    </row>
    <row r="83" spans="1:1" ht="13">
      <c r="A83" s="321"/>
    </row>
    <row r="84" spans="1:1" ht="13">
      <c r="A84" s="320"/>
    </row>
    <row r="85" spans="1:1" ht="13">
      <c r="A85" s="321"/>
    </row>
    <row r="86" spans="1:1">
      <c r="A86" s="322"/>
    </row>
    <row r="87" spans="1:1">
      <c r="A87" s="323"/>
    </row>
    <row r="88" spans="1:1">
      <c r="A88" s="322"/>
    </row>
    <row r="89" spans="1:1">
      <c r="A89" s="323"/>
    </row>
    <row r="90" spans="1:1">
      <c r="A90" s="322"/>
    </row>
    <row r="91" spans="1:1">
      <c r="A91" s="323"/>
    </row>
    <row r="92" spans="1:1">
      <c r="A92" s="322"/>
    </row>
    <row r="93" spans="1:1">
      <c r="A93" s="323"/>
    </row>
    <row r="94" spans="1:1">
      <c r="A94" s="322"/>
    </row>
    <row r="95" spans="1:1">
      <c r="A95" s="323"/>
    </row>
    <row r="96" spans="1:1">
      <c r="A96" s="322"/>
    </row>
    <row r="97" spans="1:1">
      <c r="A97" s="323"/>
    </row>
    <row r="98" spans="1:1" ht="13">
      <c r="A98" s="320"/>
    </row>
    <row r="99" spans="1:1" ht="13">
      <c r="A99" s="321"/>
    </row>
    <row r="100" spans="1:1" ht="13">
      <c r="A100" s="320"/>
    </row>
    <row r="101" spans="1:1" ht="13">
      <c r="A101" s="321"/>
    </row>
    <row r="102" spans="1:1" ht="13">
      <c r="A102" s="320"/>
    </row>
    <row r="103" spans="1:1" ht="13">
      <c r="A103" s="321"/>
    </row>
    <row r="104" spans="1:1" ht="13">
      <c r="A104" s="320" t="s">
        <v>242</v>
      </c>
    </row>
    <row r="105" spans="1:1" ht="13">
      <c r="A105" s="321" t="s">
        <v>478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48_</vt:lpstr>
      <vt:lpstr>49_</vt:lpstr>
      <vt:lpstr>50,,</vt:lpstr>
      <vt:lpstr>50</vt:lpstr>
      <vt:lpstr>PL5137</vt:lpstr>
      <vt:lpstr>52,.</vt:lpstr>
      <vt:lpstr>PL5338</vt:lpstr>
      <vt:lpstr>54 (2)</vt:lpstr>
      <vt:lpstr>55</vt:lpstr>
      <vt:lpstr>56</vt:lpstr>
      <vt:lpstr>PL5840</vt:lpstr>
      <vt:lpstr>59</vt:lpstr>
      <vt:lpstr>60</vt:lpstr>
      <vt:lpstr>61</vt:lpstr>
      <vt:lpstr> PL63nd31 (2)</vt:lpstr>
      <vt:lpstr>nhap mtqg</vt:lpstr>
      <vt:lpstr>Sheet2</vt:lpstr>
      <vt:lpstr>'61'!chuong_phuluc_38</vt:lpstr>
      <vt:lpstr>'61'!chuong_phuluc_38_name</vt:lpstr>
      <vt:lpstr>'55'!chuong_phuluc_55</vt:lpstr>
      <vt:lpstr>'55'!chuong_phuluc_55_name</vt:lpstr>
      <vt:lpstr>' PL63nd31 (2)'!Print_Area</vt:lpstr>
      <vt:lpstr>'48_'!Print_Area</vt:lpstr>
      <vt:lpstr>'50,,'!Print_Area</vt:lpstr>
      <vt:lpstr>'52,.'!Print_Area</vt:lpstr>
      <vt:lpstr>'54 (2)'!Print_Area</vt:lpstr>
      <vt:lpstr>'PL5137'!Print_Area</vt:lpstr>
      <vt:lpstr>'PL5338'!Print_Area</vt:lpstr>
      <vt:lpstr>'48_'!Print_Titles</vt:lpstr>
      <vt:lpstr>'50'!Print_Titles</vt:lpstr>
      <vt:lpstr>'50,,'!Print_Titles</vt:lpstr>
      <vt:lpstr>'52,.'!Print_Titles</vt:lpstr>
      <vt:lpstr>'54 (2)'!Print_Titles</vt:lpstr>
      <vt:lpstr>'nhap mtqg'!Print_Titles</vt:lpstr>
      <vt:lpstr>'PL5137'!Print_Titles</vt:lpstr>
      <vt:lpstr>'PL5338'!Print_Titles</vt:lpstr>
      <vt:lpstr>'PL5840'!Print_Titles</vt:lpstr>
    </vt:vector>
  </TitlesOfParts>
  <Company>huyen DakHa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TaichinhKehoach</dc:creator>
  <cp:lastModifiedBy>admin</cp:lastModifiedBy>
  <cp:lastPrinted>2025-05-20T09:33:13Z</cp:lastPrinted>
  <dcterms:created xsi:type="dcterms:W3CDTF">2003-12-28T02:37:08Z</dcterms:created>
  <dcterms:modified xsi:type="dcterms:W3CDTF">2025-05-20T09:35:25Z</dcterms:modified>
</cp:coreProperties>
</file>