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'B.01_TH'!$A$1:$J$28</definedName>
    <definedName name="_xlnm.Print_Area" localSheetId="1">'B.02.PhanCap'!$A$1:$AQ$59</definedName>
    <definedName name="_xlnm.Print_Area" localSheetId="2">'Biểu số 03'!$A$1:$G$14</definedName>
    <definedName name="_xlnm.Print_Titles" localSheetId="0">'B.01_TH'!$7:$10</definedName>
    <definedName name="_xlnm.Print_Titles" localSheetId="1">'B.02.PhanCap'!$8:$10</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<sst xmlns="http://schemas.openxmlformats.org/spreadsheetml/2006/main" count="756" uniqueCount="295">
  <si>
    <t>ĐVT: Triệu đồng</t>
  </si>
  <si>
    <t>TT</t>
  </si>
  <si>
    <t>Nguồn vốn</t>
  </si>
  <si>
    <t>Ghi chú</t>
  </si>
  <si>
    <t>I</t>
  </si>
  <si>
    <t>-</t>
  </si>
  <si>
    <t>II</t>
  </si>
  <si>
    <t>Vốn các Chương trình mục tiêu quốc gia</t>
  </si>
  <si>
    <t>Chương trình mục tiêu quốc gia xây dựng nông thôn mới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</si>
  <si>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</si>
  <si>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</si>
  <si>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</si>
  <si>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</si>
  <si>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</si>
  <si>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</si>
  <si>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</si>
  <si>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</si>
  <si>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</si>
  <si>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</si>
  <si>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Phân cấp cân đối theo tiêu chí quy định tại NQ 24/2015/NQ-HĐND</t>
  </si>
  <si>
    <t>Huyện Ia H'Drai</t>
  </si>
  <si>
    <t>b</t>
  </si>
  <si>
    <t>c</t>
  </si>
  <si>
    <t>Phân cấp đầu tư các xã biên giới</t>
  </si>
  <si>
    <t>Nguồn cân đối NSĐP theo tiêu chí quy định tại Quyết định số 40/2015/QĐ-TTg</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</si>
  <si>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</si>
  <si>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</si>
  <si>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</si>
  <si>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</si>
  <si>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</si>
  <si>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</si>
  <si>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</si>
  <si>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</si>
  <si>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</si>
  <si>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</si>
  <si>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</si>
  <si>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</si>
  <si>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2016</t>
  </si>
  <si>
    <t>Vốn đã bố trí đến hết năm Kế hoạch 2017</t>
  </si>
  <si>
    <t>Nguồn cân đối NSĐP theo tiêu chí quy định tại QĐ 40/2015/QĐ-TTg</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</si>
  <si>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</si>
  <si>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</si>
  <si>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</si>
  <si>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</si>
  <si>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</si>
  <si>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</si>
  <si>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</si>
  <si>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</si>
  <si>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</si>
  <si>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</si>
  <si>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</si>
  <si>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</si>
  <si>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</si>
  <si>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</si>
  <si>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Nguồn vốn cân đối ngân sách địa phương</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</si>
  <si>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</si>
  <si>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</si>
  <si>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</si>
  <si>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</si>
  <si>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</si>
  <si>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</si>
  <si>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</si>
  <si>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</si>
  <si>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</si>
  <si>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</si>
  <si>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</si>
  <si>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</si>
  <si>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</si>
  <si>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</si>
  <si>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</si>
  <si>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</si>
  <si>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</si>
  <si>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</si>
  <si>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</si>
  <si>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</si>
  <si>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</si>
  <si>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</si>
  <si>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</si>
  <si>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</si>
  <si>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</si>
  <si>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</si>
  <si>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</si>
  <si>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Chi tiết Biểu 02-ĐT</t>
  </si>
  <si>
    <t>Trường Tiểu học Lê Quý Đôn. Hạng mục: Nhà hiệu bộ và hạng mục phụ trợ</t>
  </si>
  <si>
    <t xml:space="preserve">860/QĐ-UBND huyện ngày 17/10/2017 </t>
  </si>
  <si>
    <t>872/QĐ-UBND huyện ngày 25/10/2017</t>
  </si>
  <si>
    <t>(Kèm theo Quyết định số 1406/QĐ-UBND ngày 19/12/2017 của UBND huyện Ia H'Drai)</t>
  </si>
  <si>
    <t>Kế hoạch năm 2019</t>
  </si>
  <si>
    <t>Vốn đã bố trí đến hết năm Kế hoạch 2018</t>
  </si>
  <si>
    <t>Các công trình khởi công mới năm 2019</t>
  </si>
  <si>
    <t>Đường giao thông ĐĐT19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</si>
  <si>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</si>
  <si>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</si>
  <si>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</si>
  <si>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</si>
  <si>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</si>
  <si>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</si>
  <si>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</si>
  <si>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</si>
  <si>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</si>
  <si>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</si>
  <si>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</si>
  <si>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</si>
  <si>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</si>
  <si>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lấy 779 triệu dự phòng để làm năm 2020…có bổ sung luôn năm 2019 hay ko?</t>
  </si>
  <si>
    <t>Dự kiến bố trí năm 2020: 1.119 triệu đồng, có bố trí đủ luôn năm 2019 ko?</t>
  </si>
  <si>
    <t>Năm 2020 dự kiến bố trí: 114 triệu đồng….bố trí hết luôn năm 2019 ko?</t>
  </si>
  <si>
    <t>*</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</si>
  <si>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</si>
  <si>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</si>
  <si>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</si>
  <si>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</si>
  <si>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</si>
  <si>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</si>
  <si>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</si>
  <si>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</si>
  <si>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</si>
  <si>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</si>
  <si>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</si>
  <si>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</si>
  <si>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</si>
  <si>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</si>
  <si>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</si>
  <si>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</si>
  <si>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</si>
  <si>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</si>
  <si>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</si>
  <si>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</si>
  <si>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</si>
  <si>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</si>
  <si>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</si>
  <si>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Đầu tư kết cấu hạ tầng điểm dân cư số 20, xã Ia Đal</t>
  </si>
  <si>
    <t>Đầu tư kết cấu hạ tầng quy hoạch phía Bắc trung tâm hành chính huyện</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</si>
  <si>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</si>
  <si>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</si>
  <si>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</si>
  <si>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</si>
  <si>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</si>
  <si>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</si>
  <si>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</si>
  <si>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</si>
  <si>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</si>
  <si>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</si>
  <si>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</si>
  <si>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</si>
  <si>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Chi tiết Biểu 03/ĐT</t>
  </si>
  <si>
    <t>Chi tiết biểu 04/ĐT</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</si>
  <si>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</si>
  <si>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</si>
  <si>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</si>
  <si>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</si>
  <si>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</si>
  <si>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</si>
  <si>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CÁC NGUỒN VỐN CHƯƠNG TRÌNH MỤC TIÊU</t>
  </si>
  <si>
    <t xml:space="preserve">Nguồn thu tiền sử dụng đất trong cân đối </t>
  </si>
  <si>
    <t>Nguồn thu tiền sử dụng đất trong cân đối</t>
  </si>
  <si>
    <t>(Kèm theo Công văn số 85/PTCKH-ĐT ngày 29/11/2018 của Phòng Tài chính - Kế hoạch huyện)</t>
  </si>
  <si>
    <t>OK</t>
  </si>
  <si>
    <t>Khởi công mới năm 2018, trong đó:
- Nguồn phân cấp theo Nghị quyết 24/2015/NQ-HĐND tỉnh: 610 triệu đồng
- Nguồn phân cấp đầu tư các dự án cấp bách khác: 607 triệu đồng
- Sử dụng nguồn dự phòng: 2.752 triệu đồng (Nguồn dự phòng sau khi sử dụng: 422 triệu = 3.174 triệu -2.752 triệu)</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</si>
  <si>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</si>
  <si>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</si>
  <si>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</si>
  <si>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</si>
  <si>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</si>
  <si>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</si>
  <si>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</si>
  <si>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</si>
  <si>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</si>
  <si>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</si>
  <si>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</si>
  <si>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</si>
  <si>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</si>
  <si>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</si>
  <si>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</si>
  <si>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</si>
  <si>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</si>
  <si>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</si>
  <si>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</si>
  <si>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</si>
  <si>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670/QĐ-UBND huyện ngày 27/9/2018</t>
  </si>
  <si>
    <t>Đài truyền thanh-Truyền hình huyện</t>
  </si>
  <si>
    <t xml:space="preserve">Phòng Nội vụ huyện </t>
  </si>
  <si>
    <t>Thực hiện các nội dung có tính chất đặc thù</t>
  </si>
  <si>
    <t>+</t>
  </si>
  <si>
    <t xml:space="preserve">Chi từ nguồn thu tiền sử dụng đất trong cân đối để lại cho huyện </t>
  </si>
  <si>
    <t>Chi đầu tư xây dựng cơ bản</t>
  </si>
  <si>
    <t>QĐ 691/QĐ-UBND ngày 22/10/2018 của UBND huyện</t>
  </si>
  <si>
    <t>533/QĐ-UBND ngày 19/5/2016  của UBND tỉnh</t>
  </si>
  <si>
    <t>Đường giao thông thôn Chư Hem, xã Ia Đal</t>
  </si>
  <si>
    <r>
      <t xml:space="preserve">Tổng số </t>
    </r>
    <r>
      <rPr>
        <sz val="13"/>
        <rFont val="Narrow"/>
        <family val="0"/>
      </rPr>
      <t>(tất cả các nguồn vốn)</t>
    </r>
  </si>
  <si>
    <r>
      <t>Xã Ia Tơi</t>
    </r>
    <r>
      <rPr>
        <i/>
        <sz val="13"/>
        <rFont val="Narrow"/>
        <family val="0"/>
      </rPr>
      <t xml:space="preserve"> </t>
    </r>
  </si>
  <si>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</si>
  <si>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</si>
  <si>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</si>
  <si>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</si>
  <si>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</si>
  <si>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</si>
  <si>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</si>
  <si>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</si>
  <si>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</si>
  <si>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</si>
  <si>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</si>
  <si>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</si>
  <si>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</si>
  <si>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</si>
  <si>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</si>
  <si>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</si>
  <si>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</si>
  <si>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</si>
  <si>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</si>
  <si>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</si>
  <si>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</si>
  <si>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</si>
  <si>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</si>
  <si>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</si>
  <si>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</si>
  <si>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683/QĐ-UBND huyện ngày 18/10/2018</t>
  </si>
  <si>
    <t>690/QĐ-UBND huyện ngày 19/10/2018</t>
  </si>
  <si>
    <t>Thực hiện chi nhiệm vụ đo đạc, cấp giấy chứng nhận quyền sử dụng đất</t>
  </si>
  <si>
    <t>Thực hiện Dự án</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</si>
  <si>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</si>
  <si>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</si>
  <si>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</si>
  <si>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</si>
  <si>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</si>
  <si>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</si>
  <si>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</si>
  <si>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</si>
  <si>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</si>
  <si>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</si>
  <si>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Đầu tư các công trình cấp bách khác</t>
  </si>
  <si>
    <t>868/QĐ-UBND ngày 23/10/2017</t>
  </si>
  <si>
    <t>876/QĐ-UBND ngày 30/10/2017</t>
  </si>
  <si>
    <t>5.1</t>
  </si>
  <si>
    <t>5.2</t>
  </si>
  <si>
    <t>(Kèm theo Nghị quyết số      /NQ-HĐND ngày       /      /2019 của Hội đồng nhân dân huyện Ia H'Drai)</t>
  </si>
  <si>
    <t xml:space="preserve">Kế hoạch năm 2019 </t>
  </si>
  <si>
    <t>Cầu Drai ( thuộc Đường giao thông nối trung tâm hành chính huyện với đường tuần tra biên giới khu vực Hồ Le) (3)</t>
  </si>
  <si>
    <r>
      <t xml:space="preserve">Kế hoạch năm 2019 </t>
    </r>
    <r>
      <rPr>
        <b/>
        <i/>
        <sz val="13"/>
        <color indexed="18"/>
        <rFont val="Narrow"/>
        <family val="0"/>
      </rPr>
      <t>(Nghị quyết số 22/NQ-HĐND của Hội đồng nhân dân huyện Ia H'Drai khóa X, kỳ họp lần thứ 7 ngày 13/12/2018)</t>
    </r>
  </si>
  <si>
    <t xml:space="preserve">Điều chỉnh tổng mức đầu tư từ 38.423 triệu đồng xuống 37.750 triệu đồng </t>
  </si>
  <si>
    <t xml:space="preserve">Nguồn vốn  </t>
  </si>
  <si>
    <t>Kế hoạch đầu tư nguồn ngân sách nhà nước theo Nghị Quyết số 04/NQ-HĐND ngày 09/5/2019</t>
  </si>
  <si>
    <t>Nguồn thu tiền sử dụng đất từ các dự án</t>
  </si>
  <si>
    <t>Dự án khai thác quỹ đất để phát triển kết cấu hạ tầng Khu trung tâm hành chính huyện Ia H'Drai, tỉnh Kon Tum</t>
  </si>
  <si>
    <t>Dự án khai thác quỹ đất để phát triển kết cấu hạ tầng, bố trí dân cư dọc hai bên Quốc lộ 14C (đoạn từ Trung tâm hành chính huyện đến ngã ba Quốc lộ 14C - Sê San 3)</t>
  </si>
  <si>
    <t>3538/UBND ngày 29/12/2017</t>
  </si>
  <si>
    <t>(Kèm theo Tờ trình số           /TTr-UBND ngày          /           /2019 của Ủy ban nhân dân huyện Ia H'Drai)</t>
  </si>
  <si>
    <t>Tổng Cộng (I+II+III+IV+V+VI+VII)</t>
  </si>
  <si>
    <t>TỔNG CỘNG (I+II)</t>
  </si>
  <si>
    <t>(Kèm theo Tờ trình số           /TTr-UBND ngày     /        /2019 của Ủy ban nhân dân huyện Ia H'Drai)</t>
  </si>
  <si>
    <t>San lấp mặt bằng trước chợ trưng tâm huyện</t>
  </si>
  <si>
    <t>Đvt: Triệu đồng</t>
  </si>
  <si>
    <t>(Kèm theo Tờ trình số      /TTr-PTCKH ngày        /       /2019 của Phòng Tài chính - Kế hoạch huyện)</t>
  </si>
  <si>
    <t>(Kèm theo Quyết định số          /QĐ-UBND ngày      /       /2019 của Ủy ban nhân dân huyện Ia H'D'rai)</t>
  </si>
  <si>
    <t>Các dự án chuyển tiếp hoàn thành sau năm 2019</t>
  </si>
  <si>
    <t>Kế hoạch năm 2020</t>
  </si>
  <si>
    <t>KẾ HOẠCH VỐN PHÂN CẤP ĐẦU TƯ NĂM 2020</t>
  </si>
  <si>
    <t>Mái che nhà công vụ khối Huyện ủy, khối Ủy ban nhân dân huyện và các hạng mục khác</t>
  </si>
  <si>
    <t>865/QĐ-UBND huyện ngày 21/12/2018</t>
  </si>
  <si>
    <t>373/QĐ-UBND huyện ngày 24/9/2019</t>
  </si>
  <si>
    <t>Vốn đã bố trí đến hết năm Kế hoạch 2019</t>
  </si>
  <si>
    <t xml:space="preserve">Kế hoạch năm 2020 </t>
  </si>
  <si>
    <t xml:space="preserve">Đầu tư lưới điện hạ thế khu trung tâm hành chính huyện </t>
  </si>
  <si>
    <t>Trường Tiểu học Lê Quý Đôn; Hạng mục 06 phòng học và các công trình phụ trợ</t>
  </si>
  <si>
    <t>495/QĐ-UBND ngày 30/10/2019</t>
  </si>
  <si>
    <t>711/QĐ-UBND huyện ngày 30/10/2018</t>
  </si>
  <si>
    <t>Các công trình khởi công mới năm 2020</t>
  </si>
  <si>
    <t>Năm 2019 đã bố trí 120 triệu</t>
  </si>
  <si>
    <t>Năm 2018 đã bố trí:150 triệu đồng, năm 2019: 944 triệu đồng</t>
  </si>
  <si>
    <t xml:space="preserve">Năm 2019 đã bố trí: 610 triệu đồng, </t>
  </si>
  <si>
    <t>Trả nợ</t>
  </si>
  <si>
    <t>Năm 2018 đã bố trí: 100 triệu đồng, năm 2019: 561 triệu đồng</t>
  </si>
  <si>
    <t>Các công trình chuyển tiếp dự kiến hoàn thành sau năm 2019</t>
  </si>
  <si>
    <t>Hồ chứa nước và các hạng mục phụ trợ khu dân cư phía Đông trung tâm xã Ia Tơi</t>
  </si>
  <si>
    <t>498/QĐ-UBND huyện ngày 30/10/2019</t>
  </si>
  <si>
    <r>
      <t xml:space="preserve">(1) Công trình Cầu Drai (thuộc Đường giao thông nối trung tâm hành chính huyện với đường tuần tra biên giới khu vực Hồ Le) với tổng mức đầu tư điều chỉnh tại Quyết định số 02/QĐ-UBND ngày 08/01/2019 của UBND huyện: 37.750 triệu đồng gồm 03 nguồn </t>
    </r>
    <r>
      <rPr>
        <i/>
        <sz val="12"/>
        <color indexed="8"/>
        <rFont val="Times New Roman"/>
        <family val="1"/>
      </rPr>
      <t>(Nguồn đầu tư các công trình cấp bách khác: 15.000 triệu đồng, Nguồn thu tiền sử dựng đất trong cân đối (dự kiên): 21.259 triệu đồng và Nguồn kết dư ngân sách huyện năm 2017: 1.491 triệu đồng)</t>
    </r>
    <r>
      <rPr>
        <sz val="12"/>
        <color indexed="8"/>
        <rFont val="Times New Roman"/>
        <family val="1"/>
      </rPr>
      <t>.</t>
    </r>
  </si>
  <si>
    <t>Cầu Drai ( thuộc Đường giao thông nối trung tâm hành chính huyện với đường tuần tra biên giới khu vực Hồ Le) (1)</t>
  </si>
  <si>
    <t>Mở rộng Quốc lộ 14C (Đoạn từ ĐĐT25 đến cầu Suối Đá)</t>
  </si>
  <si>
    <t>Xây dựng điểm dân cư số 2, số 3 xã Ia Dom</t>
  </si>
  <si>
    <t xml:space="preserve">Dự án Mở rộng Quốc lộ 14C (đoạn từ N2-N5) </t>
  </si>
  <si>
    <t>TỔNG HỢP KẾ HOẠCH ĐẦU TƯ VỐN NGÂN SÁCH NHÀ NƯỚC NĂM 2020, HUYỆN IA H'DRAI</t>
  </si>
  <si>
    <t>Chương trình mục tiêu quốc gia giảm nghèo bền vững (135)</t>
  </si>
  <si>
    <t>Ngân sách địa phương (huyện, xã)</t>
  </si>
  <si>
    <t>Nguồn thu sử dụng đất điều chỉnh quy hoạch, kế hoạch sử dụng đất năm 2020 và các nhiệm vụ quản lý đấy đai theo phân cấp</t>
  </si>
  <si>
    <t>Chủ đầu tư, Đơn vị thực hiện</t>
  </si>
  <si>
    <t xml:space="preserve">Thực hiện các nhiệm vụ quy hoạch </t>
  </si>
  <si>
    <t>2.4</t>
  </si>
  <si>
    <t>Thực hiện các nhiệm vụ quy hoạch</t>
  </si>
  <si>
    <t>Xây dựng hàng rào bảo vệ cây xanh (Khu vực huyện ủy)</t>
  </si>
  <si>
    <t>476//QĐ-UBND huyện ngày 25/10/2019</t>
  </si>
  <si>
    <t xml:space="preserve">Chuẩn bị đầu tư các dự án Kế hoạch giai đoạn 2021-2025 </t>
  </si>
  <si>
    <t>497//QĐ-UBND huyện ngày 30/10/2019</t>
  </si>
  <si>
    <t>292//QĐ-UBND huyện ngày 31/7/2019</t>
  </si>
  <si>
    <t>493//QĐ-UBND huyện ngày 30/10/2019</t>
  </si>
  <si>
    <t>Chỉ thực hiện khi đã có nguồn tập trung vào ngấn sách huyện, giao UBND huyện điều hành cụ thể</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</si>
</sst>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00"/>
    <numFmt numFmtId="174" formatCode="_-&quot;$&quot;* #,##0_-;\-&quot;$&quot;* #,##0_-;_-&quot;$&quot;* &quot;-&quot;_-;_-@_-"/>
    <numFmt numFmtId="175" formatCode="_ * #,##0_ ;_ * \-#,##0_ ;_ * &quot;-&quot;_ ;_ @_ "/>
    <numFmt numFmtId="176" formatCode="_ * #,##0_)\ _$_ ;_ * \(#,##0\)\ _$_ ;_ * &quot;-&quot;_)\ _$_ ;_ @_ "/>
    <numFmt numFmtId="177" formatCode="&quot;£&quot;#,##0;\-&quot;£&quot;#,##0"/>
    <numFmt numFmtId="178" formatCode="_ * #,##0_)\ &quot;F&quot;_ ;_ * \(#,##0\)\ &quot;F&quot;_ ;_ * &quot;-&quot;_)\ &quot;F&quot;_ ;_ @_ "/>
    <numFmt numFmtId="179" formatCode="0.0"/>
    <numFmt numFmtId="180" formatCode="0.000"/>
    <numFmt numFmtId="181" formatCode="0.0000"/>
    <numFmt numFmtId="182" formatCode="_(* #,##0_);_(* \(#,##0\);_(* &quot;-&quot;??_);_(@_)"/>
    <numFmt numFmtId="183" formatCode="_-* #,##0\ _₫_-;\-* #,##0\ _₫_-;_-* &quot;-&quot;??\ _₫_-;_-@_-"/>
    <numFmt numFmtId="184" formatCode="[$-42A]dd\ mmmm\ yyyy"/>
    <numFmt numFmtId="185" formatCode="[$-42A]h:mm:ss\ AM/PM"/>
    <numFmt numFmtId="186" formatCode="_-* #,##0.00\ [$₫-42A]_-;\-* #,##0.00\ [$₫-42A]_-;_-* &quot;-&quot;??\ [$₫-42A]_-;_-@_-"/>
    <numFmt numFmtId="187" formatCode="_-[$$-409]* #,##0.00_ ;_-[$$-409]* \-#,##0.00\ ;_-[$$-409]* &quot;-&quot;??_ ;_-@_ "/>
    <numFmt numFmtId="188" formatCode="#,##0.00\ &quot;₫&quot;"/>
    <numFmt numFmtId="189" formatCode="#,##0.0\ &quot;₫&quot;"/>
    <numFmt numFmtId="190" formatCode="#,##0\ &quot;₫&quot;"/>
    <numFmt numFmtId="191" formatCode="#,##0.0"/>
    <numFmt numFmtId="192" formatCode="#,##0.00;[Red]#,##0.00"/>
    <numFmt numFmtId="193" formatCode="[$-409]dddd\,\ mmmm\ dd\,\ yyyy"/>
    <numFmt numFmtId="194" formatCode="[$-409]h:mm:ss\ AM/PM"/>
    <numFmt numFmtId="195" formatCode="#,##0.000"/>
    <numFmt numFmtId="196" formatCode="#,##0.0000"/>
    <numFmt numFmtId="197" formatCode="#,##0.0;[Red]#,##0.0"/>
    <numFmt numFmtId="198" formatCode="#,##0;[Red]#,##0"/>
    <numFmt numFmtId="199" formatCode="&quot;Yes&quot;;&quot;Yes&quot;;&quot;No&quot;"/>
    <numFmt numFmtId="200" formatCode="&quot;True&quot;;&quot;True&quot;;&quot;False&quot;"/>
    <numFmt numFmtId="201" formatCode="&quot;On&quot;;&quot;On&quot;;&quot;Off&quot;"/>
    <numFmt numFmtId="202" formatCode="[$€-2]\ #,##0.00_);[Red]\([$€-2]\ #,##0.00\)"/>
  </numFmts>
  <fonts count="93">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i/>
      <sz val="13"/>
      <name val="Narrow"/>
      <family val="0"/>
    </font>
    <font>
      <b/>
      <i/>
      <sz val="13"/>
      <color indexed="18"/>
      <name val="Narrow"/>
      <family val="0"/>
    </font>
    <font>
      <b/>
      <sz val="13"/>
      <color indexed="8"/>
      <name val="Narrow"/>
      <family val="0"/>
    </font>
    <font>
      <b/>
      <sz val="13"/>
      <color indexed="18"/>
      <name val="Narrow"/>
      <family val="0"/>
    </font>
    <font>
      <sz val="12"/>
      <color indexed="8"/>
      <name val="Times New Roman"/>
      <family val="1"/>
    </font>
    <font>
      <i/>
      <sz val="12"/>
      <color indexed="8"/>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1"/>
      <color indexed="8"/>
      <name val="Calibri"/>
      <family val="2"/>
    </font>
    <font>
      <sz val="13"/>
      <color indexed="10"/>
      <name val="Narrow"/>
      <family val="0"/>
    </font>
    <font>
      <b/>
      <sz val="13"/>
      <color indexed="10"/>
      <name val="Narrow"/>
      <family val="0"/>
    </font>
    <font>
      <sz val="11"/>
      <color indexed="10"/>
      <name val="Calibri"/>
      <family val="2"/>
    </font>
    <font>
      <i/>
      <sz val="13"/>
      <color indexed="18"/>
      <name val="Narrow"/>
      <family val="0"/>
    </font>
    <font>
      <sz val="14"/>
      <color indexed="10"/>
      <name val="Narrow"/>
      <family val="0"/>
    </font>
    <font>
      <sz val="14"/>
      <color indexed="8"/>
      <name val="Calibri"/>
      <family val="2"/>
    </font>
    <font>
      <b/>
      <sz val="14"/>
      <color indexed="18"/>
      <name val="Narrow"/>
      <family val="0"/>
    </font>
    <font>
      <sz val="10"/>
      <color indexed="10"/>
      <name val="Times New Roman"/>
      <family val="1"/>
    </font>
    <font>
      <sz val="13"/>
      <color indexed="10"/>
      <name val="Times New Roman"/>
      <family val="1"/>
    </font>
    <font>
      <sz val="13"/>
      <color indexed="8"/>
      <name val="Calibri"/>
      <family val="2"/>
    </font>
    <font>
      <sz val="13"/>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i/>
      <sz val="14"/>
      <color indexed="18"/>
      <name val="Narrow"/>
      <family val="0"/>
    </font>
    <font>
      <sz val="13"/>
      <color indexed="30"/>
      <name val="Narrow"/>
      <family val="0"/>
    </font>
    <font>
      <i/>
      <sz val="14"/>
      <color indexed="18"/>
      <name val="Times New Roman"/>
      <family val="1"/>
    </font>
    <font>
      <sz val="13"/>
      <color indexed="9"/>
      <name val="Narrow"/>
      <family val="0"/>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1"/>
      <color theme="1"/>
      <name val="Calibri"/>
      <family val="2"/>
    </font>
    <font>
      <sz val="13"/>
      <color rgb="FFFF0000"/>
      <name val="Narrow"/>
      <family val="0"/>
    </font>
    <font>
      <b/>
      <sz val="13"/>
      <color rgb="FFFF0000"/>
      <name val="Narrow"/>
      <family val="0"/>
    </font>
    <font>
      <sz val="11"/>
      <color rgb="FFFF0000"/>
      <name val="Calibri"/>
      <family val="2"/>
    </font>
    <font>
      <i/>
      <sz val="13"/>
      <color rgb="FF000066"/>
      <name val="Narrow"/>
      <family val="0"/>
    </font>
    <font>
      <sz val="14"/>
      <color rgb="FFFF0000"/>
      <name val="Narrow"/>
      <family val="0"/>
    </font>
    <font>
      <sz val="14"/>
      <color theme="1"/>
      <name val="Calibri"/>
      <family val="2"/>
    </font>
    <font>
      <b/>
      <sz val="14"/>
      <color rgb="FF000066"/>
      <name val="Narrow"/>
      <family val="0"/>
    </font>
    <font>
      <sz val="10"/>
      <color rgb="FFFF0000"/>
      <name val="Times New Roman"/>
      <family val="1"/>
    </font>
    <font>
      <sz val="13"/>
      <color theme="1"/>
      <name val="Narrow"/>
      <family val="0"/>
    </font>
    <font>
      <sz val="13"/>
      <color rgb="FFFF0000"/>
      <name val="Times New Roman"/>
      <family val="1"/>
    </font>
    <font>
      <sz val="13"/>
      <color theme="1"/>
      <name val="Calibri"/>
      <family val="2"/>
    </font>
    <font>
      <sz val="13"/>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i/>
      <sz val="14"/>
      <color rgb="FF000066"/>
      <name val="Narrow"/>
      <family val="0"/>
    </font>
    <font>
      <sz val="13"/>
      <color rgb="FF0070C0"/>
      <name val="Narrow"/>
      <family val="0"/>
    </font>
    <font>
      <sz val="12"/>
      <color theme="1"/>
      <name val="Times New Roman"/>
      <family val="1"/>
    </font>
    <font>
      <i/>
      <sz val="14"/>
      <color rgb="FF000066"/>
      <name val="Times New Roman"/>
      <family val="1"/>
    </font>
    <font>
      <sz val="13"/>
      <color theme="0"/>
      <name val="Narrow"/>
      <family val="0"/>
    </font>
    <font>
      <b/>
      <sz val="8"/>
      <name val="Calibri"/>
      <family val="2"/>
    </font>
  </fonts>
  <fills count="3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73"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77" fontId="14" fillId="0" borderId="0" applyFont="0" applyFill="0" applyBorder="0" applyAlignment="0" applyProtection="0"/>
    <xf numFmtId="174" fontId="5" fillId="0" borderId="0" applyFont="0" applyFill="0" applyBorder="0" applyAlignment="0" applyProtection="0"/>
    <xf numFmtId="175"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13" fillId="2" borderId="0">
      <alignment/>
      <protection/>
    </xf>
    <xf numFmtId="0" fontId="13" fillId="0" borderId="0">
      <alignment wrapText="1"/>
      <protection/>
    </xf>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1"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11" fillId="0" borderId="0" applyFont="0" applyFill="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178" fontId="16" fillId="0" borderId="0" applyFont="0" applyFill="0" applyBorder="0" applyAlignment="0" applyProtection="0"/>
    <xf numFmtId="0" fontId="17" fillId="0" borderId="0" applyFont="0" applyFill="0" applyBorder="0" applyAlignment="0" applyProtection="0"/>
    <xf numFmtId="176" fontId="16"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4" fillId="0" borderId="0" applyFill="0" applyBorder="0" applyAlignment="0" applyProtection="0"/>
    <xf numFmtId="172" fontId="18" fillId="0" borderId="0" applyFont="0" applyFill="0" applyBorder="0" applyAlignment="0" applyProtection="0"/>
    <xf numFmtId="0" fontId="4" fillId="0" borderId="0" applyFill="0" applyBorder="0" applyAlignment="0" applyProtection="0"/>
    <xf numFmtId="0" fontId="62"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63" fillId="0" borderId="2" applyNumberFormat="0" applyAlignment="0" applyProtection="0"/>
    <xf numFmtId="0" fontId="64"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5" fontId="6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6"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66">
    <xf numFmtId="0" fontId="0" fillId="0" borderId="0" xfId="0" applyFont="1" applyAlignment="1">
      <alignment/>
    </xf>
    <xf numFmtId="0" fontId="0" fillId="0" borderId="0" xfId="0" applyAlignment="1">
      <alignment vertical="center"/>
    </xf>
    <xf numFmtId="0" fontId="68" fillId="0" borderId="0" xfId="0" applyFont="1" applyAlignment="1">
      <alignment vertical="center"/>
    </xf>
    <xf numFmtId="0" fontId="69" fillId="0" borderId="4" xfId="0" applyFont="1" applyBorder="1" applyAlignment="1">
      <alignment horizontal="center" vertical="center" wrapText="1"/>
    </xf>
    <xf numFmtId="0" fontId="70" fillId="0" borderId="0" xfId="0" applyFont="1" applyAlignment="1">
      <alignment vertical="center"/>
    </xf>
    <xf numFmtId="0" fontId="68" fillId="0" borderId="0" xfId="0" applyFont="1" applyAlignment="1">
      <alignment horizontal="center" vertical="center"/>
    </xf>
    <xf numFmtId="0" fontId="0" fillId="0" borderId="0" xfId="0" applyAlignment="1">
      <alignment horizontal="center" vertical="center"/>
    </xf>
    <xf numFmtId="0" fontId="70" fillId="0" borderId="0" xfId="0" applyFont="1" applyAlignment="1">
      <alignment horizontal="center" vertical="center"/>
    </xf>
    <xf numFmtId="0" fontId="68" fillId="0" borderId="0" xfId="0" applyFont="1" applyAlignment="1">
      <alignment vertical="center" wrapText="1"/>
    </xf>
    <xf numFmtId="0" fontId="0" fillId="0" borderId="0" xfId="0" applyAlignment="1">
      <alignment vertical="center" wrapText="1"/>
    </xf>
    <xf numFmtId="0" fontId="68" fillId="0" borderId="0" xfId="0" applyFont="1" applyAlignment="1">
      <alignment horizontal="center" vertical="center" wrapText="1"/>
    </xf>
    <xf numFmtId="0" fontId="0" fillId="0" borderId="0" xfId="0" applyAlignment="1">
      <alignment horizontal="center" vertical="center" wrapText="1"/>
    </xf>
    <xf numFmtId="0" fontId="69" fillId="0" borderId="0" xfId="0" applyFont="1" applyAlignment="1">
      <alignment horizontal="center" vertical="center" wrapText="1"/>
    </xf>
    <xf numFmtId="0" fontId="70" fillId="0" borderId="0" xfId="0" applyFont="1" applyAlignment="1">
      <alignment horizontal="center" vertical="center" wrapText="1"/>
    </xf>
    <xf numFmtId="0" fontId="69" fillId="0" borderId="0" xfId="0" applyFont="1" applyAlignment="1">
      <alignment vertical="center" wrapText="1"/>
    </xf>
    <xf numFmtId="0" fontId="70" fillId="0" borderId="0" xfId="0" applyFont="1" applyAlignment="1">
      <alignment vertical="center" wrapText="1"/>
    </xf>
    <xf numFmtId="0" fontId="71" fillId="0" borderId="0" xfId="0" applyFont="1" applyAlignment="1">
      <alignment vertical="center" wrapText="1"/>
    </xf>
    <xf numFmtId="0" fontId="72" fillId="0" borderId="0" xfId="0" applyFont="1" applyAlignment="1">
      <alignment horizontal="center" vertical="center" wrapText="1"/>
    </xf>
    <xf numFmtId="0" fontId="72" fillId="0" borderId="0" xfId="0" applyFont="1" applyAlignment="1">
      <alignment vertical="center" wrapText="1"/>
    </xf>
    <xf numFmtId="0" fontId="73" fillId="0" borderId="0" xfId="0" applyFont="1" applyAlignment="1">
      <alignment vertical="center" wrapText="1"/>
    </xf>
    <xf numFmtId="0" fontId="68" fillId="0" borderId="4" xfId="0" applyFont="1" applyBorder="1" applyAlignment="1">
      <alignment vertical="center" wrapText="1"/>
    </xf>
    <xf numFmtId="0" fontId="68" fillId="0" borderId="4" xfId="0" applyFont="1" applyBorder="1" applyAlignment="1">
      <alignment horizontal="center" vertical="center" wrapText="1"/>
    </xf>
    <xf numFmtId="0" fontId="74" fillId="0" borderId="0" xfId="0" applyFont="1" applyAlignment="1">
      <alignment horizontal="right" vertical="center" wrapText="1"/>
    </xf>
    <xf numFmtId="0" fontId="74" fillId="0" borderId="0" xfId="0" applyFont="1" applyAlignment="1">
      <alignment horizontal="center" vertical="center" wrapText="1"/>
    </xf>
    <xf numFmtId="0" fontId="69" fillId="27" borderId="4" xfId="0" applyFont="1" applyFill="1" applyBorder="1" applyAlignment="1">
      <alignment horizontal="center" vertical="center" wrapText="1"/>
    </xf>
    <xf numFmtId="0" fontId="74" fillId="28" borderId="0" xfId="0" applyFont="1" applyFill="1" applyAlignment="1">
      <alignment vertical="center" wrapText="1"/>
    </xf>
    <xf numFmtId="0" fontId="74" fillId="28" borderId="5" xfId="0" applyFont="1" applyFill="1" applyBorder="1" applyAlignment="1">
      <alignment horizontal="center" vertical="center" wrapText="1"/>
    </xf>
    <xf numFmtId="182" fontId="69" fillId="0" borderId="4" xfId="75" applyNumberFormat="1" applyFont="1" applyFill="1" applyBorder="1" applyAlignment="1">
      <alignment horizontal="center" vertical="center" wrapText="1"/>
    </xf>
    <xf numFmtId="0" fontId="74" fillId="28" borderId="0" xfId="0" applyFont="1" applyFill="1" applyAlignment="1">
      <alignment horizontal="center" vertical="center" wrapText="1"/>
    </xf>
    <xf numFmtId="0" fontId="74" fillId="28" borderId="4" xfId="0" applyFont="1" applyFill="1" applyBorder="1" applyAlignment="1">
      <alignment horizontal="center" vertical="center" wrapText="1"/>
    </xf>
    <xf numFmtId="0" fontId="69" fillId="27" borderId="4" xfId="0" applyFont="1" applyFill="1" applyBorder="1" applyAlignment="1">
      <alignment vertical="center" wrapText="1"/>
    </xf>
    <xf numFmtId="182" fontId="69" fillId="0" borderId="0" xfId="0" applyNumberFormat="1" applyFont="1" applyAlignment="1">
      <alignment horizontal="center" vertical="center" wrapText="1"/>
    </xf>
    <xf numFmtId="0" fontId="68" fillId="0" borderId="4" xfId="0" applyFont="1" applyFill="1" applyBorder="1" applyAlignment="1">
      <alignment horizontal="center" vertical="center" wrapText="1"/>
    </xf>
    <xf numFmtId="0" fontId="0" fillId="0" borderId="0" xfId="0" applyAlignment="1">
      <alignment horizontal="left" vertical="center" wrapText="1"/>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5" fillId="0" borderId="0" xfId="0" applyFont="1" applyAlignment="1">
      <alignment vertical="center" wrapText="1"/>
    </xf>
    <xf numFmtId="0" fontId="76" fillId="0" borderId="0" xfId="0" applyFont="1" applyAlignment="1">
      <alignment vertical="center" wrapText="1"/>
    </xf>
    <xf numFmtId="0" fontId="76" fillId="0" borderId="0" xfId="0" applyFont="1" applyAlignment="1">
      <alignment vertical="center"/>
    </xf>
    <xf numFmtId="182" fontId="69" fillId="29" borderId="4" xfId="75" applyNumberFormat="1" applyFont="1" applyFill="1" applyBorder="1" applyAlignment="1">
      <alignment horizontal="center" vertical="center" wrapText="1"/>
    </xf>
    <xf numFmtId="0" fontId="71" fillId="0" borderId="0" xfId="0" applyFont="1" applyAlignment="1">
      <alignment vertical="center" wrapText="1"/>
    </xf>
    <xf numFmtId="0" fontId="69" fillId="0" borderId="4" xfId="0" applyFont="1" applyBorder="1" applyAlignment="1">
      <alignment horizontal="center" vertical="center" wrapText="1"/>
    </xf>
    <xf numFmtId="182" fontId="68" fillId="0" borderId="0" xfId="0" applyNumberFormat="1" applyFont="1" applyAlignment="1">
      <alignment vertical="center" wrapText="1"/>
    </xf>
    <xf numFmtId="182" fontId="71" fillId="0" borderId="0" xfId="0" applyNumberFormat="1" applyFont="1" applyAlignment="1">
      <alignment vertical="center" wrapText="1"/>
    </xf>
    <xf numFmtId="0" fontId="68" fillId="30" borderId="4" xfId="0" applyFont="1" applyFill="1" applyBorder="1" applyAlignment="1">
      <alignment horizontal="center" vertical="center" wrapText="1"/>
    </xf>
    <xf numFmtId="182" fontId="69" fillId="30" borderId="4" xfId="75" applyNumberFormat="1" applyFont="1" applyFill="1" applyBorder="1" applyAlignment="1">
      <alignment horizontal="center" vertical="center" wrapText="1"/>
    </xf>
    <xf numFmtId="0" fontId="71" fillId="30" borderId="0" xfId="0" applyFont="1" applyFill="1" applyAlignment="1">
      <alignment vertical="center" wrapText="1"/>
    </xf>
    <xf numFmtId="0" fontId="0" fillId="30" borderId="0" xfId="0" applyFill="1" applyAlignment="1">
      <alignment vertical="center" wrapText="1"/>
    </xf>
    <xf numFmtId="0" fontId="71" fillId="30" borderId="4" xfId="0" applyFont="1" applyFill="1" applyBorder="1" applyAlignment="1">
      <alignment horizontal="center" vertical="center" wrapText="1"/>
    </xf>
    <xf numFmtId="0" fontId="71" fillId="30" borderId="4" xfId="0" applyFont="1" applyFill="1" applyBorder="1" applyAlignment="1">
      <alignment horizontal="left" vertical="center" wrapText="1"/>
    </xf>
    <xf numFmtId="182" fontId="68" fillId="30" borderId="4" xfId="75" applyNumberFormat="1" applyFont="1" applyFill="1" applyBorder="1" applyAlignment="1">
      <alignment horizontal="center" vertical="center" wrapText="1"/>
    </xf>
    <xf numFmtId="0" fontId="72" fillId="30" borderId="0" xfId="0" applyFont="1" applyFill="1" applyAlignment="1">
      <alignment horizontal="center" vertical="center" wrapText="1"/>
    </xf>
    <xf numFmtId="0" fontId="69" fillId="30" borderId="4" xfId="0" applyFont="1" applyFill="1" applyBorder="1" applyAlignment="1">
      <alignment horizontal="center" vertical="center" wrapText="1"/>
    </xf>
    <xf numFmtId="0" fontId="69" fillId="30" borderId="4" xfId="0" applyFont="1" applyFill="1" applyBorder="1" applyAlignment="1">
      <alignment horizontal="left" vertical="center" wrapText="1"/>
    </xf>
    <xf numFmtId="0" fontId="70" fillId="30" borderId="0" xfId="0" applyFont="1" applyFill="1" applyAlignment="1">
      <alignment horizontal="center" vertical="center" wrapText="1"/>
    </xf>
    <xf numFmtId="0" fontId="68" fillId="30" borderId="4" xfId="0" applyFont="1" applyFill="1" applyBorder="1" applyAlignment="1">
      <alignment horizontal="left" vertical="center" wrapText="1"/>
    </xf>
    <xf numFmtId="182" fontId="72" fillId="30" borderId="0" xfId="0" applyNumberFormat="1" applyFont="1" applyFill="1" applyAlignment="1">
      <alignment horizontal="center" vertical="center" wrapText="1"/>
    </xf>
    <xf numFmtId="0" fontId="69" fillId="0" borderId="0" xfId="0" applyFont="1" applyAlignment="1">
      <alignment horizontal="center" vertical="center" wrapText="1"/>
    </xf>
    <xf numFmtId="0" fontId="0" fillId="30" borderId="0" xfId="0" applyFont="1" applyFill="1" applyAlignment="1">
      <alignment vertical="center" wrapText="1"/>
    </xf>
    <xf numFmtId="182" fontId="72" fillId="0" borderId="0" xfId="0" applyNumberFormat="1" applyFont="1" applyAlignment="1">
      <alignment horizontal="center" vertical="center" wrapText="1"/>
    </xf>
    <xf numFmtId="0" fontId="74" fillId="0" borderId="0" xfId="0" applyFont="1" applyAlignment="1">
      <alignment horizontal="right" vertical="center" wrapText="1"/>
    </xf>
    <xf numFmtId="0" fontId="77" fillId="0" borderId="0" xfId="0" applyFont="1" applyAlignment="1">
      <alignment horizontal="center" vertical="center" wrapText="1"/>
    </xf>
    <xf numFmtId="183" fontId="78" fillId="30" borderId="6" xfId="75" applyNumberFormat="1" applyFont="1" applyFill="1" applyBorder="1" applyAlignment="1">
      <alignment horizontal="center" vertical="center" wrapText="1"/>
    </xf>
    <xf numFmtId="183" fontId="78" fillId="30" borderId="4" xfId="75" applyNumberFormat="1" applyFont="1" applyFill="1" applyBorder="1" applyAlignment="1">
      <alignment horizontal="center" vertical="center" wrapText="1"/>
    </xf>
    <xf numFmtId="0" fontId="68" fillId="30" borderId="0" xfId="0" applyFont="1" applyFill="1" applyAlignment="1">
      <alignment horizontal="center" vertical="center" wrapText="1"/>
    </xf>
    <xf numFmtId="0" fontId="69" fillId="30" borderId="0" xfId="0" applyFont="1" applyFill="1" applyAlignment="1">
      <alignment horizontal="center" vertical="center" wrapText="1"/>
    </xf>
    <xf numFmtId="0" fontId="68" fillId="28" borderId="0" xfId="0" applyFont="1" applyFill="1" applyAlignment="1">
      <alignment vertical="center" wrapText="1"/>
    </xf>
    <xf numFmtId="3" fontId="68" fillId="0" borderId="4" xfId="75" applyNumberFormat="1" applyFont="1" applyFill="1" applyBorder="1" applyAlignment="1">
      <alignment horizontal="right" vertical="center" wrapText="1"/>
    </xf>
    <xf numFmtId="3" fontId="68" fillId="0" borderId="4" xfId="75" applyNumberFormat="1" applyFont="1" applyFill="1" applyBorder="1" applyAlignment="1">
      <alignment horizontal="right" vertical="center"/>
    </xf>
    <xf numFmtId="3" fontId="68" fillId="30" borderId="4" xfId="75" applyNumberFormat="1" applyFont="1" applyFill="1" applyBorder="1" applyAlignment="1">
      <alignment horizontal="right" vertical="center" wrapText="1"/>
    </xf>
    <xf numFmtId="3" fontId="68" fillId="30" borderId="4" xfId="75" applyNumberFormat="1" applyFont="1" applyFill="1" applyBorder="1" applyAlignment="1">
      <alignment horizontal="right" vertical="center"/>
    </xf>
    <xf numFmtId="3" fontId="68" fillId="0" borderId="4" xfId="75" applyNumberFormat="1" applyFont="1" applyBorder="1" applyAlignment="1">
      <alignment horizontal="right" vertical="center" wrapText="1"/>
    </xf>
    <xf numFmtId="0" fontId="68" fillId="30" borderId="0" xfId="0" applyFont="1" applyFill="1" applyAlignment="1">
      <alignment horizontal="left" vertical="center" wrapText="1"/>
    </xf>
    <xf numFmtId="182" fontId="68" fillId="28" borderId="4" xfId="75" applyNumberFormat="1" applyFont="1" applyFill="1" applyBorder="1" applyAlignment="1">
      <alignment horizontal="center" vertical="center" wrapText="1"/>
    </xf>
    <xf numFmtId="3" fontId="69" fillId="0" borderId="4" xfId="75" applyNumberFormat="1" applyFont="1" applyBorder="1" applyAlignment="1">
      <alignment horizontal="right" vertical="center" wrapText="1"/>
    </xf>
    <xf numFmtId="3" fontId="71" fillId="0" borderId="4" xfId="75" applyNumberFormat="1" applyFont="1" applyBorder="1" applyAlignment="1">
      <alignment horizontal="right" vertical="center" wrapText="1"/>
    </xf>
    <xf numFmtId="3" fontId="72" fillId="0" borderId="4" xfId="75" applyNumberFormat="1" applyFont="1" applyBorder="1" applyAlignment="1">
      <alignment horizontal="right" vertical="center" wrapText="1"/>
    </xf>
    <xf numFmtId="0" fontId="69" fillId="0" borderId="4" xfId="0" applyFont="1" applyBorder="1" applyAlignment="1">
      <alignment horizontal="center" vertical="center" wrapText="1"/>
    </xf>
    <xf numFmtId="0" fontId="74" fillId="0" borderId="0" xfId="0" applyFont="1" applyAlignment="1">
      <alignment horizontal="right" vertical="center" wrapText="1"/>
    </xf>
    <xf numFmtId="0" fontId="77" fillId="0" borderId="0" xfId="0" applyFont="1" applyAlignment="1">
      <alignment horizontal="center" vertical="center" wrapText="1"/>
    </xf>
    <xf numFmtId="0" fontId="68" fillId="30" borderId="4" xfId="0" applyFont="1" applyFill="1" applyBorder="1" applyAlignment="1">
      <alignment vertical="center" wrapText="1"/>
    </xf>
    <xf numFmtId="0" fontId="71" fillId="30" borderId="4" xfId="0" applyFont="1" applyFill="1" applyBorder="1" applyAlignment="1">
      <alignment vertical="center" wrapText="1"/>
    </xf>
    <xf numFmtId="0" fontId="72" fillId="30" borderId="4" xfId="0" applyFont="1" applyFill="1" applyBorder="1" applyAlignment="1">
      <alignment horizontal="center" vertical="center" wrapText="1"/>
    </xf>
    <xf numFmtId="0" fontId="72" fillId="30" borderId="4" xfId="0" applyFont="1" applyFill="1" applyBorder="1" applyAlignment="1">
      <alignment horizontal="left" vertical="center" wrapText="1"/>
    </xf>
    <xf numFmtId="0" fontId="68" fillId="30" borderId="0" xfId="0" applyFont="1" applyFill="1" applyAlignment="1">
      <alignment vertical="center" wrapText="1"/>
    </xf>
    <xf numFmtId="0" fontId="71" fillId="0" borderId="4" xfId="0" applyFont="1" applyBorder="1" applyAlignment="1">
      <alignment horizontal="center" vertical="center" wrapText="1"/>
    </xf>
    <xf numFmtId="3" fontId="22" fillId="30" borderId="4" xfId="75" applyNumberFormat="1" applyFont="1" applyFill="1" applyBorder="1" applyAlignment="1">
      <alignment horizontal="right" vertical="center" wrapText="1"/>
    </xf>
    <xf numFmtId="3" fontId="69" fillId="28" borderId="4" xfId="75" applyNumberFormat="1" applyFont="1" applyFill="1" applyBorder="1" applyAlignment="1">
      <alignment horizontal="right" vertical="center" wrapText="1"/>
    </xf>
    <xf numFmtId="0" fontId="0" fillId="28" borderId="0" xfId="0" applyFill="1" applyAlignment="1">
      <alignment vertical="center" wrapText="1"/>
    </xf>
    <xf numFmtId="0" fontId="69" fillId="7" borderId="4" xfId="0" applyFont="1" applyFill="1" applyBorder="1" applyAlignment="1">
      <alignment horizontal="center" vertical="center" wrapText="1"/>
    </xf>
    <xf numFmtId="3" fontId="69" fillId="7" borderId="4" xfId="75" applyNumberFormat="1" applyFont="1" applyFill="1" applyBorder="1" applyAlignment="1">
      <alignment horizontal="right" vertical="center" wrapText="1"/>
    </xf>
    <xf numFmtId="0" fontId="72" fillId="28" borderId="0" xfId="0" applyFont="1" applyFill="1" applyAlignment="1">
      <alignment horizontal="center" vertical="center" wrapText="1"/>
    </xf>
    <xf numFmtId="0" fontId="68" fillId="0" borderId="4" xfId="0" applyFont="1" applyFill="1" applyBorder="1" applyAlignment="1">
      <alignment horizontal="left" vertical="center" wrapText="1"/>
    </xf>
    <xf numFmtId="0" fontId="69" fillId="30"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3" fontId="68" fillId="28" borderId="4" xfId="75" applyNumberFormat="1" applyFont="1" applyFill="1" applyBorder="1" applyAlignment="1">
      <alignment horizontal="right" vertical="center" wrapText="1"/>
    </xf>
    <xf numFmtId="0" fontId="72" fillId="0" borderId="0" xfId="0" applyFont="1" applyFill="1" applyAlignment="1">
      <alignment horizontal="center" vertical="center" wrapText="1"/>
    </xf>
    <xf numFmtId="0" fontId="70" fillId="0" borderId="0" xfId="0" applyFont="1" applyFill="1" applyAlignment="1">
      <alignment horizontal="center" vertical="center" wrapText="1"/>
    </xf>
    <xf numFmtId="0" fontId="77" fillId="28" borderId="0" xfId="0" applyFont="1" applyFill="1" applyAlignment="1">
      <alignment horizontal="center" vertical="center" wrapText="1"/>
    </xf>
    <xf numFmtId="3" fontId="71" fillId="28" borderId="4" xfId="75" applyNumberFormat="1" applyFont="1" applyFill="1" applyBorder="1" applyAlignment="1">
      <alignment horizontal="right" vertical="center" wrapText="1"/>
    </xf>
    <xf numFmtId="3" fontId="72" fillId="28" borderId="4" xfId="75" applyNumberFormat="1" applyFont="1" applyFill="1" applyBorder="1" applyAlignment="1">
      <alignment horizontal="right" vertical="center" wrapText="1"/>
    </xf>
    <xf numFmtId="0" fontId="68" fillId="28" borderId="4" xfId="0" applyFont="1" applyFill="1" applyBorder="1" applyAlignment="1">
      <alignment horizontal="center" vertical="center" wrapText="1"/>
    </xf>
    <xf numFmtId="0" fontId="68" fillId="0" borderId="0" xfId="0" applyFont="1" applyFill="1" applyAlignment="1">
      <alignment horizontal="center" vertical="center" wrapText="1"/>
    </xf>
    <xf numFmtId="183" fontId="78" fillId="0" borderId="6" xfId="75" applyNumberFormat="1" applyFont="1" applyFill="1" applyBorder="1" applyAlignment="1">
      <alignment horizontal="center" vertical="center" wrapText="1"/>
    </xf>
    <xf numFmtId="183" fontId="78" fillId="0" borderId="4" xfId="75" applyNumberFormat="1" applyFont="1" applyFill="1" applyBorder="1" applyAlignment="1">
      <alignment horizontal="center" vertical="center" wrapText="1"/>
    </xf>
    <xf numFmtId="0" fontId="69" fillId="0" borderId="4" xfId="0" applyFont="1" applyBorder="1" applyAlignment="1">
      <alignment horizontal="center" vertical="center" wrapText="1"/>
    </xf>
    <xf numFmtId="0" fontId="69" fillId="30" borderId="4" xfId="0" applyFont="1" applyFill="1" applyBorder="1" applyAlignment="1">
      <alignment horizontal="center" vertical="center" wrapText="1"/>
    </xf>
    <xf numFmtId="0" fontId="74" fillId="0" borderId="0" xfId="0" applyFont="1" applyAlignment="1">
      <alignment horizontal="right" vertical="center" wrapText="1"/>
    </xf>
    <xf numFmtId="0" fontId="69" fillId="28" borderId="4" xfId="0" applyFont="1" applyFill="1" applyBorder="1" applyAlignment="1">
      <alignment horizontal="center" vertical="center" wrapText="1"/>
    </xf>
    <xf numFmtId="0" fontId="69" fillId="31" borderId="4" xfId="0" applyFont="1" applyFill="1" applyBorder="1" applyAlignment="1">
      <alignment horizontal="center" vertical="center" wrapText="1"/>
    </xf>
    <xf numFmtId="0" fontId="69" fillId="31" borderId="4" xfId="0" applyFont="1" applyFill="1" applyBorder="1" applyAlignment="1">
      <alignment horizontal="left" vertical="center" wrapText="1"/>
    </xf>
    <xf numFmtId="3" fontId="69" fillId="31" borderId="4" xfId="75" applyNumberFormat="1" applyFont="1" applyFill="1" applyBorder="1" applyAlignment="1">
      <alignment horizontal="right" vertical="center" wrapText="1"/>
    </xf>
    <xf numFmtId="0" fontId="69" fillId="32" borderId="4" xfId="0" applyFont="1" applyFill="1" applyBorder="1" applyAlignment="1">
      <alignment horizontal="center" vertical="center" wrapText="1"/>
    </xf>
    <xf numFmtId="3" fontId="69" fillId="28" borderId="4" xfId="75" applyNumberFormat="1" applyFont="1" applyFill="1" applyBorder="1" applyAlignment="1">
      <alignment horizontal="right" vertical="center"/>
    </xf>
    <xf numFmtId="3" fontId="68" fillId="28" borderId="4" xfId="75" applyNumberFormat="1" applyFont="1" applyFill="1" applyBorder="1" applyAlignment="1">
      <alignment horizontal="right" vertical="center"/>
    </xf>
    <xf numFmtId="4" fontId="0" fillId="0" borderId="0" xfId="75" applyNumberFormat="1" applyFont="1" applyAlignment="1">
      <alignment vertical="center"/>
    </xf>
    <xf numFmtId="182" fontId="79" fillId="30" borderId="4" xfId="75" applyNumberFormat="1" applyFont="1" applyFill="1" applyBorder="1" applyAlignment="1">
      <alignment horizontal="center" vertical="center"/>
    </xf>
    <xf numFmtId="0" fontId="69" fillId="31" borderId="4" xfId="0" applyFont="1" applyFill="1" applyBorder="1" applyAlignment="1">
      <alignment horizontal="center" vertical="center"/>
    </xf>
    <xf numFmtId="3" fontId="68" fillId="0" borderId="0" xfId="0" applyNumberFormat="1" applyFont="1" applyAlignment="1">
      <alignment horizontal="center" vertical="center" wrapText="1"/>
    </xf>
    <xf numFmtId="0" fontId="69" fillId="27" borderId="4" xfId="0" applyFont="1" applyFill="1" applyBorder="1" applyAlignment="1">
      <alignment horizontal="left" vertical="center" wrapText="1"/>
    </xf>
    <xf numFmtId="3" fontId="69" fillId="27" borderId="4" xfId="75" applyNumberFormat="1" applyFont="1" applyFill="1" applyBorder="1" applyAlignment="1">
      <alignment horizontal="right" vertical="center"/>
    </xf>
    <xf numFmtId="0" fontId="69" fillId="8" borderId="4" xfId="0" applyFont="1" applyFill="1" applyBorder="1" applyAlignment="1">
      <alignment horizontal="center" vertical="center" wrapText="1"/>
    </xf>
    <xf numFmtId="3" fontId="69"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69" fillId="0" borderId="4" xfId="0" applyNumberFormat="1" applyFont="1" applyBorder="1" applyAlignment="1">
      <alignment horizontal="center" vertical="center" wrapText="1"/>
    </xf>
    <xf numFmtId="3" fontId="69" fillId="28" borderId="4" xfId="0" applyNumberFormat="1" applyFont="1" applyFill="1" applyBorder="1" applyAlignment="1">
      <alignment horizontal="center" vertical="center" wrapText="1"/>
    </xf>
    <xf numFmtId="3" fontId="69" fillId="32" borderId="4" xfId="0" applyNumberFormat="1" applyFont="1" applyFill="1" applyBorder="1" applyAlignment="1">
      <alignment horizontal="center" vertical="center" wrapText="1"/>
    </xf>
    <xf numFmtId="0" fontId="72" fillId="0" borderId="4" xfId="0" applyFont="1" applyBorder="1" applyAlignment="1">
      <alignment horizontal="center" vertical="center" wrapText="1"/>
    </xf>
    <xf numFmtId="0" fontId="79" fillId="0" borderId="4" xfId="0" applyFont="1" applyBorder="1" applyAlignment="1">
      <alignment horizontal="center" vertical="center" wrapText="1"/>
    </xf>
    <xf numFmtId="0" fontId="79" fillId="30" borderId="4" xfId="0" applyFont="1" applyFill="1" applyBorder="1" applyAlignment="1">
      <alignment horizontal="left" vertical="center" wrapText="1"/>
    </xf>
    <xf numFmtId="0" fontId="79" fillId="30" borderId="4" xfId="0" applyFont="1" applyFill="1" applyBorder="1" applyAlignment="1">
      <alignment horizontal="center" vertical="center" wrapText="1"/>
    </xf>
    <xf numFmtId="0" fontId="72" fillId="28" borderId="4" xfId="0" applyFont="1" applyFill="1" applyBorder="1" applyAlignment="1">
      <alignment horizontal="center" vertical="center" wrapText="1"/>
    </xf>
    <xf numFmtId="0" fontId="68" fillId="28" borderId="4" xfId="0" applyFont="1" applyFill="1" applyBorder="1" applyAlignment="1">
      <alignment vertical="center" wrapText="1"/>
    </xf>
    <xf numFmtId="0" fontId="79" fillId="28" borderId="4" xfId="0" applyFont="1" applyFill="1" applyBorder="1" applyAlignment="1">
      <alignment horizontal="center" vertical="center" wrapText="1"/>
    </xf>
    <xf numFmtId="0" fontId="65"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0" fontId="71" fillId="28" borderId="4" xfId="0" applyFont="1" applyFill="1" applyBorder="1" applyAlignment="1">
      <alignment horizontal="center" vertical="center" wrapText="1"/>
    </xf>
    <xf numFmtId="3" fontId="68" fillId="0" borderId="0" xfId="0" applyNumberFormat="1" applyFont="1" applyAlignment="1">
      <alignment vertical="center" wrapText="1"/>
    </xf>
    <xf numFmtId="3" fontId="68" fillId="0" borderId="0" xfId="0" applyNumberFormat="1" applyFont="1" applyFill="1" applyAlignment="1">
      <alignment vertical="center" wrapText="1"/>
    </xf>
    <xf numFmtId="0" fontId="81" fillId="0" borderId="0" xfId="0" applyFont="1" applyAlignment="1">
      <alignment vertical="center"/>
    </xf>
    <xf numFmtId="0" fontId="82" fillId="0" borderId="0" xfId="0" applyFont="1" applyAlignment="1">
      <alignment vertical="center"/>
    </xf>
    <xf numFmtId="0" fontId="73" fillId="0" borderId="0" xfId="0" applyFont="1" applyAlignment="1">
      <alignment vertical="center"/>
    </xf>
    <xf numFmtId="0" fontId="0" fillId="28" borderId="0" xfId="0" applyFill="1" applyAlignment="1">
      <alignment vertical="center"/>
    </xf>
    <xf numFmtId="0" fontId="68" fillId="0" borderId="4" xfId="0" applyFont="1" applyBorder="1" applyAlignment="1">
      <alignment horizontal="left" vertical="center" wrapText="1"/>
    </xf>
    <xf numFmtId="3" fontId="68"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4" fontId="68" fillId="0" borderId="0" xfId="75" applyNumberFormat="1" applyFont="1" applyFill="1" applyBorder="1" applyAlignment="1">
      <alignment horizontal="right" vertical="center"/>
    </xf>
    <xf numFmtId="3" fontId="69" fillId="0" borderId="4" xfId="75" applyNumberFormat="1" applyFont="1" applyFill="1" applyBorder="1" applyAlignment="1">
      <alignment horizontal="right" vertical="center"/>
    </xf>
    <xf numFmtId="4" fontId="68" fillId="30" borderId="4" xfId="75" applyNumberFormat="1" applyFont="1" applyFill="1" applyBorder="1" applyAlignment="1">
      <alignment horizontal="right" vertical="center" wrapText="1"/>
    </xf>
    <xf numFmtId="4" fontId="75" fillId="0" borderId="0" xfId="0" applyNumberFormat="1" applyFont="1" applyAlignment="1">
      <alignment horizontal="center" vertical="center" wrapText="1"/>
    </xf>
    <xf numFmtId="0" fontId="77" fillId="0" borderId="0" xfId="0" applyFont="1" applyAlignment="1">
      <alignment horizontal="center" vertical="center" wrapText="1"/>
    </xf>
    <xf numFmtId="0" fontId="69" fillId="0" borderId="4" xfId="0" applyFont="1" applyBorder="1" applyAlignment="1">
      <alignment horizontal="center" vertical="center" wrapText="1"/>
    </xf>
    <xf numFmtId="0" fontId="69" fillId="30"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4" fontId="0" fillId="0" borderId="0" xfId="75" applyNumberFormat="1" applyFont="1" applyAlignment="1">
      <alignment vertical="center" wrapText="1"/>
    </xf>
    <xf numFmtId="0" fontId="71" fillId="28" borderId="4" xfId="0" applyFont="1" applyFill="1" applyBorder="1" applyAlignment="1">
      <alignment horizontal="center" vertical="center" wrapText="1"/>
    </xf>
    <xf numFmtId="3" fontId="0" fillId="0" borderId="0" xfId="0" applyNumberFormat="1" applyAlignment="1">
      <alignment vertical="center"/>
    </xf>
    <xf numFmtId="0" fontId="69" fillId="27" borderId="4" xfId="0" applyFont="1" applyFill="1" applyBorder="1" applyAlignment="1">
      <alignment horizontal="center" vertical="center" wrapText="1"/>
    </xf>
    <xf numFmtId="0" fontId="69" fillId="27" borderId="4" xfId="0" applyFont="1" applyFill="1" applyBorder="1" applyAlignment="1">
      <alignment horizontal="left" vertical="center" wrapText="1"/>
    </xf>
    <xf numFmtId="0" fontId="69" fillId="30" borderId="4" xfId="0" applyFont="1" applyFill="1" applyBorder="1" applyAlignment="1">
      <alignment horizontal="center" vertical="center" wrapText="1"/>
    </xf>
    <xf numFmtId="0" fontId="69" fillId="30" borderId="4" xfId="0" applyFont="1" applyFill="1" applyBorder="1" applyAlignment="1">
      <alignment horizontal="left" vertical="center" wrapText="1"/>
    </xf>
    <xf numFmtId="3" fontId="69" fillId="30" borderId="4" xfId="75" applyNumberFormat="1" applyFont="1" applyFill="1" applyBorder="1" applyAlignment="1">
      <alignment horizontal="right" vertical="center"/>
    </xf>
    <xf numFmtId="0" fontId="69" fillId="30" borderId="4" xfId="0" applyFont="1" applyFill="1" applyBorder="1" applyAlignment="1" quotePrefix="1">
      <alignment horizontal="center" vertical="center" wrapText="1"/>
    </xf>
    <xf numFmtId="180" fontId="25" fillId="0" borderId="4" xfId="0" applyNumberFormat="1" applyFont="1" applyFill="1" applyBorder="1" applyAlignment="1">
      <alignment horizontal="left" vertical="center" wrapText="1"/>
    </xf>
    <xf numFmtId="0" fontId="68" fillId="30" borderId="4" xfId="0" applyFont="1" applyFill="1" applyBorder="1" applyAlignment="1">
      <alignment horizontal="center" vertical="center" wrapText="1"/>
    </xf>
    <xf numFmtId="180" fontId="25" fillId="0" borderId="4" xfId="0" applyNumberFormat="1" applyFont="1" applyFill="1" applyBorder="1" applyAlignment="1">
      <alignment horizontal="center" vertical="center" wrapText="1"/>
    </xf>
    <xf numFmtId="179"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3" fillId="31" borderId="4" xfId="0" applyFont="1" applyFill="1" applyBorder="1" applyAlignment="1">
      <alignment vertical="center"/>
    </xf>
    <xf numFmtId="0" fontId="83" fillId="31" borderId="4" xfId="0" applyFont="1" applyFill="1" applyBorder="1" applyAlignment="1">
      <alignment horizontal="center" vertical="center"/>
    </xf>
    <xf numFmtId="0" fontId="83" fillId="28" borderId="4" xfId="0" applyFont="1" applyFill="1" applyBorder="1" applyAlignment="1">
      <alignment vertical="center"/>
    </xf>
    <xf numFmtId="0" fontId="74" fillId="30" borderId="5" xfId="0" applyFont="1" applyFill="1" applyBorder="1" applyAlignment="1">
      <alignment horizontal="center" vertical="center" wrapText="1"/>
    </xf>
    <xf numFmtId="0" fontId="71" fillId="30" borderId="4" xfId="0" applyFont="1" applyFill="1" applyBorder="1" applyAlignment="1" quotePrefix="1">
      <alignment horizontal="center" vertical="center" wrapText="1"/>
    </xf>
    <xf numFmtId="0" fontId="71" fillId="30" borderId="4" xfId="0" applyFont="1" applyFill="1" applyBorder="1" applyAlignment="1">
      <alignment horizontal="left" vertical="center" wrapText="1"/>
    </xf>
    <xf numFmtId="0" fontId="71" fillId="30" borderId="4" xfId="0" applyFont="1" applyFill="1" applyBorder="1" applyAlignment="1">
      <alignment horizontal="center" vertical="center" wrapText="1"/>
    </xf>
    <xf numFmtId="3" fontId="71" fillId="28" borderId="4" xfId="75" applyNumberFormat="1" applyFont="1" applyFill="1" applyBorder="1" applyAlignment="1">
      <alignment horizontal="right" vertical="center" wrapText="1"/>
    </xf>
    <xf numFmtId="0" fontId="71" fillId="0" borderId="0" xfId="0" applyFont="1" applyAlignment="1">
      <alignment horizontal="center" vertical="center" wrapText="1"/>
    </xf>
    <xf numFmtId="3" fontId="71" fillId="0" borderId="4" xfId="75" applyNumberFormat="1" applyFont="1" applyBorder="1" applyAlignment="1">
      <alignment horizontal="right" vertical="center" wrapText="1"/>
    </xf>
    <xf numFmtId="0" fontId="69" fillId="0" borderId="4" xfId="0" applyFont="1" applyBorder="1" applyAlignment="1">
      <alignment horizontal="center" vertical="center" wrapText="1"/>
    </xf>
    <xf numFmtId="0" fontId="69" fillId="30"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0" fontId="71" fillId="30" borderId="0" xfId="0" applyFont="1" applyFill="1" applyAlignment="1">
      <alignment vertical="center" wrapText="1"/>
    </xf>
    <xf numFmtId="3" fontId="21" fillId="30" borderId="4" xfId="75" applyNumberFormat="1" applyFont="1" applyFill="1" applyBorder="1" applyAlignment="1">
      <alignment horizontal="right" vertical="center" wrapText="1"/>
    </xf>
    <xf numFmtId="3" fontId="21" fillId="30" borderId="4" xfId="75" applyNumberFormat="1" applyFont="1" applyFill="1" applyBorder="1" applyAlignment="1">
      <alignment horizontal="center" vertical="center" wrapText="1"/>
    </xf>
    <xf numFmtId="0" fontId="21" fillId="30" borderId="4" xfId="0" applyFont="1" applyFill="1" applyBorder="1" applyAlignment="1">
      <alignment horizontal="left" vertical="center" wrapText="1"/>
    </xf>
    <xf numFmtId="49" fontId="22" fillId="30" borderId="4" xfId="98" applyNumberFormat="1" applyFont="1" applyFill="1" applyBorder="1" applyAlignment="1" quotePrefix="1">
      <alignment horizontal="center" vertical="center"/>
      <protection/>
    </xf>
    <xf numFmtId="0" fontId="22" fillId="30" borderId="4" xfId="0" applyFont="1" applyFill="1" applyBorder="1" applyAlignment="1">
      <alignment horizontal="left" vertical="center" wrapText="1"/>
    </xf>
    <xf numFmtId="0" fontId="22" fillId="30" borderId="4" xfId="0" applyFont="1" applyFill="1" applyBorder="1" applyAlignment="1">
      <alignment horizontal="center" vertical="center" wrapText="1"/>
    </xf>
    <xf numFmtId="183" fontId="22" fillId="30" borderId="4" xfId="75" applyNumberFormat="1" applyFont="1" applyFill="1" applyBorder="1" applyAlignment="1">
      <alignment horizontal="center" vertical="center" wrapText="1"/>
    </xf>
    <xf numFmtId="3" fontId="22" fillId="30" borderId="4" xfId="75" applyNumberFormat="1" applyFont="1" applyFill="1" applyBorder="1" applyAlignment="1">
      <alignment horizontal="center" vertical="center" wrapText="1"/>
    </xf>
    <xf numFmtId="3" fontId="22" fillId="30" borderId="4" xfId="75" applyNumberFormat="1" applyFont="1" applyFill="1" applyBorder="1" applyAlignment="1">
      <alignment horizontal="center" vertical="center" wrapText="1"/>
    </xf>
    <xf numFmtId="0" fontId="20" fillId="30" borderId="4" xfId="97" applyFont="1" applyFill="1" applyBorder="1" applyAlignment="1" quotePrefix="1">
      <alignment horizontal="center" vertical="center" wrapText="1"/>
      <protection/>
    </xf>
    <xf numFmtId="0" fontId="22" fillId="30" borderId="4" xfId="0" applyFont="1" applyFill="1" applyBorder="1" applyAlignment="1" quotePrefix="1">
      <alignment horizontal="center" vertical="center" wrapText="1"/>
    </xf>
    <xf numFmtId="180" fontId="28" fillId="0" borderId="4" xfId="0" applyNumberFormat="1" applyFont="1" applyFill="1" applyBorder="1" applyAlignment="1">
      <alignment horizontal="left" vertical="center" wrapText="1"/>
    </xf>
    <xf numFmtId="180" fontId="28" fillId="0" borderId="4" xfId="0" applyNumberFormat="1" applyFont="1" applyFill="1" applyBorder="1" applyAlignment="1">
      <alignment horizontal="center" vertical="center" wrapText="1"/>
    </xf>
    <xf numFmtId="179" fontId="28" fillId="0" borderId="4" xfId="0" applyNumberFormat="1" applyFont="1" applyFill="1" applyBorder="1" applyAlignment="1">
      <alignment horizontal="center" vertical="center" wrapText="1"/>
    </xf>
    <xf numFmtId="0" fontId="69" fillId="28" borderId="4" xfId="0" applyFont="1" applyFill="1" applyBorder="1" applyAlignment="1">
      <alignment horizontal="center" vertical="center" wrapText="1"/>
    </xf>
    <xf numFmtId="0" fontId="69" fillId="30" borderId="0" xfId="0" applyFont="1" applyFill="1" applyAlignment="1">
      <alignment horizontal="center" vertical="center" wrapText="1"/>
    </xf>
    <xf numFmtId="3" fontId="69" fillId="27" borderId="7" xfId="75" applyNumberFormat="1" applyFont="1" applyFill="1" applyBorder="1" applyAlignment="1">
      <alignment horizontal="right" vertical="center"/>
    </xf>
    <xf numFmtId="3" fontId="69" fillId="27" borderId="6" xfId="75" applyNumberFormat="1" applyFont="1" applyFill="1" applyBorder="1" applyAlignment="1">
      <alignment horizontal="right" vertical="center"/>
    </xf>
    <xf numFmtId="3" fontId="69" fillId="27" borderId="0" xfId="75" applyNumberFormat="1" applyFont="1" applyFill="1" applyBorder="1" applyAlignment="1">
      <alignment horizontal="right" vertical="center"/>
    </xf>
    <xf numFmtId="0" fontId="69" fillId="0" borderId="4" xfId="0" applyFont="1" applyFill="1" applyBorder="1" applyAlignment="1">
      <alignment horizontal="left" vertical="center" wrapText="1"/>
    </xf>
    <xf numFmtId="0" fontId="69" fillId="0" borderId="4" xfId="0" applyFont="1" applyFill="1" applyBorder="1" applyAlignment="1">
      <alignment horizontal="center" vertical="center" wrapText="1"/>
    </xf>
    <xf numFmtId="0" fontId="69" fillId="0" borderId="0" xfId="0" applyFont="1" applyFill="1" applyAlignment="1">
      <alignment horizontal="center" vertical="center" wrapText="1"/>
    </xf>
    <xf numFmtId="0" fontId="84" fillId="0" borderId="4" xfId="0" applyFont="1" applyBorder="1" applyAlignment="1">
      <alignment horizontal="center"/>
    </xf>
    <xf numFmtId="0" fontId="85" fillId="0" borderId="4" xfId="0" applyFont="1" applyBorder="1" applyAlignment="1">
      <alignment horizontal="center" vertical="center"/>
    </xf>
    <xf numFmtId="3" fontId="85" fillId="0" borderId="4" xfId="0" applyNumberFormat="1" applyFont="1" applyBorder="1" applyAlignment="1">
      <alignment horizontal="center" vertical="center"/>
    </xf>
    <xf numFmtId="0" fontId="85" fillId="0" borderId="4" xfId="0" applyFont="1" applyBorder="1" applyAlignment="1">
      <alignment horizontal="left" vertical="center"/>
    </xf>
    <xf numFmtId="0" fontId="85" fillId="0" borderId="4" xfId="0" applyFont="1" applyBorder="1" applyAlignment="1">
      <alignment horizontal="left" vertical="center" wrapText="1"/>
    </xf>
    <xf numFmtId="3" fontId="85" fillId="0" borderId="4" xfId="0" applyNumberFormat="1" applyFont="1" applyBorder="1" applyAlignment="1">
      <alignment horizontal="left" vertical="center"/>
    </xf>
    <xf numFmtId="3" fontId="85" fillId="0" borderId="4" xfId="0" applyNumberFormat="1" applyFont="1" applyBorder="1" applyAlignment="1">
      <alignment horizontal="right" vertical="center"/>
    </xf>
    <xf numFmtId="0" fontId="71" fillId="0" borderId="4" xfId="0" applyFont="1" applyBorder="1" applyAlignment="1">
      <alignment horizontal="left" vertical="center" wrapText="1"/>
    </xf>
    <xf numFmtId="3" fontId="72" fillId="0" borderId="0" xfId="0" applyNumberFormat="1" applyFont="1" applyAlignment="1">
      <alignment horizontal="center" vertical="center" wrapText="1"/>
    </xf>
    <xf numFmtId="3" fontId="71"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68"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69" fillId="30" borderId="4" xfId="0" applyFont="1" applyFill="1" applyBorder="1" applyAlignment="1">
      <alignment horizontal="center" vertical="center" wrapText="1"/>
    </xf>
    <xf numFmtId="0" fontId="20" fillId="30" borderId="4" xfId="0" applyFont="1" applyFill="1" applyBorder="1" applyAlignment="1" quotePrefix="1">
      <alignment horizontal="center" vertical="center" wrapText="1"/>
    </xf>
    <xf numFmtId="0" fontId="65" fillId="30" borderId="4" xfId="0" applyFont="1" applyFill="1" applyBorder="1" applyAlignment="1">
      <alignment horizontal="center" vertical="center" wrapText="1"/>
    </xf>
    <xf numFmtId="0" fontId="81" fillId="30" borderId="0" xfId="0" applyFont="1" applyFill="1" applyAlignment="1">
      <alignment vertical="center"/>
    </xf>
    <xf numFmtId="0" fontId="0" fillId="30" borderId="0" xfId="0" applyFill="1" applyAlignment="1">
      <alignment vertical="center"/>
    </xf>
    <xf numFmtId="3" fontId="0" fillId="30" borderId="0" xfId="0" applyNumberFormat="1" applyFill="1" applyAlignment="1">
      <alignment vertical="center"/>
    </xf>
    <xf numFmtId="0" fontId="20" fillId="30" borderId="4" xfId="0" applyFont="1" applyFill="1" applyBorder="1" applyAlignment="1">
      <alignment horizontal="center" vertical="center" wrapText="1"/>
    </xf>
    <xf numFmtId="0" fontId="80" fillId="30" borderId="4" xfId="0" applyFont="1" applyFill="1" applyBorder="1" applyAlignment="1">
      <alignment horizontal="center" vertical="center" wrapText="1"/>
    </xf>
    <xf numFmtId="49" fontId="20" fillId="30" borderId="4" xfId="0" applyNumberFormat="1" applyFont="1" applyFill="1" applyBorder="1" applyAlignment="1">
      <alignment horizontal="center" vertical="center" wrapText="1"/>
    </xf>
    <xf numFmtId="0" fontId="79" fillId="30" borderId="4" xfId="0" applyFont="1" applyFill="1" applyBorder="1" applyAlignment="1">
      <alignment horizontal="center" vertical="center" wrapText="1"/>
    </xf>
    <xf numFmtId="3" fontId="86" fillId="31" borderId="4" xfId="75" applyNumberFormat="1" applyFont="1" applyFill="1" applyBorder="1" applyAlignment="1">
      <alignment vertical="center"/>
    </xf>
    <xf numFmtId="3" fontId="69" fillId="27" borderId="4" xfId="75" applyNumberFormat="1" applyFont="1" applyFill="1" applyBorder="1" applyAlignment="1">
      <alignment horizontal="right" vertical="center" wrapText="1"/>
    </xf>
    <xf numFmtId="3" fontId="72" fillId="0" borderId="4" xfId="75" applyNumberFormat="1" applyFont="1" applyFill="1" applyBorder="1" applyAlignment="1">
      <alignment horizontal="right" vertical="center" wrapText="1"/>
    </xf>
    <xf numFmtId="3" fontId="72" fillId="30" borderId="4" xfId="75" applyNumberFormat="1" applyFont="1" applyFill="1" applyBorder="1" applyAlignment="1">
      <alignment horizontal="right" vertical="center" wrapText="1"/>
    </xf>
    <xf numFmtId="3" fontId="71" fillId="0" borderId="4" xfId="75" applyNumberFormat="1" applyFont="1" applyFill="1" applyBorder="1" applyAlignment="1">
      <alignment horizontal="right" vertical="center" wrapText="1"/>
    </xf>
    <xf numFmtId="3" fontId="71" fillId="30" borderId="4" xfId="75" applyNumberFormat="1" applyFont="1" applyFill="1" applyBorder="1" applyAlignment="1">
      <alignment horizontal="right" vertical="center" wrapText="1"/>
    </xf>
    <xf numFmtId="3" fontId="22" fillId="30" borderId="4" xfId="75" applyNumberFormat="1" applyFont="1" applyFill="1" applyBorder="1" applyAlignment="1">
      <alignment horizontal="right" vertical="center" wrapText="1"/>
    </xf>
    <xf numFmtId="3" fontId="69" fillId="32" borderId="4" xfId="75" applyNumberFormat="1" applyFont="1" applyFill="1" applyBorder="1" applyAlignment="1">
      <alignment horizontal="right" vertical="center" wrapText="1"/>
    </xf>
    <xf numFmtId="3" fontId="65" fillId="30" borderId="4" xfId="75" applyNumberFormat="1" applyFont="1" applyFill="1" applyBorder="1" applyAlignment="1">
      <alignment vertical="center" wrapText="1"/>
    </xf>
    <xf numFmtId="3" fontId="20" fillId="30" borderId="4" xfId="75" applyNumberFormat="1" applyFont="1" applyFill="1" applyBorder="1" applyAlignment="1">
      <alignment horizontal="right" vertical="center" wrapText="1"/>
    </xf>
    <xf numFmtId="3" fontId="79" fillId="0" borderId="4" xfId="75" applyNumberFormat="1" applyFont="1" applyFill="1" applyBorder="1" applyAlignment="1">
      <alignment horizontal="right" vertical="center" wrapText="1"/>
    </xf>
    <xf numFmtId="3" fontId="79" fillId="28" borderId="4" xfId="75" applyNumberFormat="1" applyFont="1" applyFill="1" applyBorder="1" applyAlignment="1">
      <alignment horizontal="right" vertical="center" wrapText="1"/>
    </xf>
    <xf numFmtId="3" fontId="79" fillId="30" borderId="4" xfId="75" applyNumberFormat="1" applyFont="1" applyFill="1" applyBorder="1" applyAlignment="1">
      <alignment horizontal="right" vertical="center" wrapText="1"/>
    </xf>
    <xf numFmtId="3" fontId="65" fillId="28" borderId="4" xfId="75" applyNumberFormat="1" applyFont="1" applyFill="1" applyBorder="1" applyAlignment="1">
      <alignment vertical="center" wrapText="1"/>
    </xf>
    <xf numFmtId="3" fontId="69" fillId="30" borderId="4" xfId="75" applyNumberFormat="1" applyFont="1" applyFill="1" applyBorder="1" applyAlignment="1">
      <alignment horizontal="right" vertical="center"/>
    </xf>
    <xf numFmtId="3" fontId="71" fillId="30" borderId="4" xfId="75" applyNumberFormat="1" applyFont="1" applyFill="1" applyBorder="1" applyAlignment="1">
      <alignment horizontal="right" vertical="center"/>
    </xf>
    <xf numFmtId="3" fontId="71"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2" fillId="30" borderId="4" xfId="75" applyNumberFormat="1" applyFont="1" applyFill="1" applyBorder="1" applyAlignment="1">
      <alignment horizontal="right" vertical="center"/>
    </xf>
    <xf numFmtId="3" fontId="72" fillId="28" borderId="4" xfId="75" applyNumberFormat="1" applyFont="1" applyFill="1" applyBorder="1" applyAlignment="1">
      <alignment horizontal="right" vertical="center"/>
    </xf>
    <xf numFmtId="3" fontId="69" fillId="0" borderId="4" xfId="0" applyNumberFormat="1" applyFont="1" applyBorder="1" applyAlignment="1">
      <alignment horizontal="center" vertical="center" wrapText="1"/>
    </xf>
    <xf numFmtId="0" fontId="21" fillId="30" borderId="4" xfId="0" applyFont="1" applyFill="1" applyBorder="1" applyAlignment="1">
      <alignment horizontal="center" vertical="center" wrapText="1"/>
    </xf>
    <xf numFmtId="3" fontId="21" fillId="30" borderId="4" xfId="75" applyNumberFormat="1" applyFont="1" applyFill="1" applyBorder="1" applyAlignment="1">
      <alignment horizontal="right" vertical="center" wrapText="1"/>
    </xf>
    <xf numFmtId="0" fontId="21" fillId="30" borderId="4" xfId="0" applyFont="1" applyFill="1" applyBorder="1" applyAlignment="1">
      <alignment horizontal="left" vertical="center" wrapText="1"/>
    </xf>
    <xf numFmtId="0" fontId="77" fillId="0" borderId="0" xfId="0" applyFont="1" applyAlignment="1">
      <alignment horizontal="center" vertical="center" wrapText="1"/>
    </xf>
    <xf numFmtId="0" fontId="71" fillId="30" borderId="0" xfId="0" applyFont="1" applyFill="1" applyAlignment="1">
      <alignment vertical="center" wrapText="1"/>
    </xf>
    <xf numFmtId="0" fontId="68" fillId="28" borderId="0" xfId="0" applyFont="1" applyFill="1" applyAlignment="1">
      <alignment horizontal="center" vertical="center" wrapText="1"/>
    </xf>
    <xf numFmtId="0" fontId="71" fillId="30" borderId="0" xfId="0" applyFont="1" applyFill="1" applyAlignment="1">
      <alignment horizontal="center" vertical="center" wrapText="1"/>
    </xf>
    <xf numFmtId="0" fontId="0" fillId="30" borderId="0" xfId="0" applyFont="1" applyFill="1" applyAlignment="1">
      <alignment horizontal="center" vertical="center" wrapText="1"/>
    </xf>
    <xf numFmtId="0" fontId="70" fillId="0" borderId="0" xfId="0" applyFont="1" applyFill="1" applyAlignment="1">
      <alignment horizontal="center" vertical="center"/>
    </xf>
    <xf numFmtId="182" fontId="70" fillId="0" borderId="0" xfId="0" applyNumberFormat="1" applyFont="1" applyFill="1" applyAlignment="1">
      <alignment horizontal="center" vertical="center"/>
    </xf>
    <xf numFmtId="0" fontId="0" fillId="0" borderId="0" xfId="0"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87" fillId="0" borderId="0" xfId="0" applyFont="1" applyAlignment="1">
      <alignment horizontal="center" vertical="center" wrapText="1"/>
    </xf>
    <xf numFmtId="0" fontId="69" fillId="0" borderId="0" xfId="0" applyFont="1" applyAlignment="1">
      <alignment horizontal="right" vertical="center" wrapText="1"/>
    </xf>
    <xf numFmtId="0" fontId="87" fillId="0" borderId="0" xfId="0" applyFont="1" applyAlignment="1">
      <alignment horizontal="center" vertical="center" wrapText="1"/>
    </xf>
    <xf numFmtId="0" fontId="21" fillId="30" borderId="4" xfId="0" applyFont="1" applyFill="1" applyBorder="1" applyAlignment="1">
      <alignment horizontal="center" vertical="center" wrapText="1"/>
    </xf>
    <xf numFmtId="4" fontId="69" fillId="30" borderId="4" xfId="75" applyNumberFormat="1" applyFont="1" applyFill="1" applyBorder="1" applyAlignment="1">
      <alignment horizontal="center" vertical="center" wrapText="1"/>
    </xf>
    <xf numFmtId="3" fontId="68" fillId="30" borderId="4" xfId="75" applyNumberFormat="1" applyFont="1" applyFill="1" applyBorder="1" applyAlignment="1">
      <alignment horizontal="right" vertical="center"/>
    </xf>
    <xf numFmtId="3" fontId="88" fillId="30" borderId="4" xfId="75" applyNumberFormat="1" applyFont="1" applyFill="1" applyBorder="1" applyAlignment="1">
      <alignment horizontal="right" vertical="center"/>
    </xf>
    <xf numFmtId="0" fontId="69" fillId="30" borderId="4" xfId="0" applyFont="1" applyFill="1" applyBorder="1" applyAlignment="1">
      <alignment horizontal="center" vertical="center"/>
    </xf>
    <xf numFmtId="0" fontId="74" fillId="30" borderId="4" xfId="0" applyFont="1" applyFill="1" applyBorder="1" applyAlignment="1">
      <alignment horizontal="center" vertical="center" wrapText="1"/>
    </xf>
    <xf numFmtId="0" fontId="68" fillId="30" borderId="4" xfId="0" applyFont="1" applyFill="1" applyBorder="1" applyAlignment="1">
      <alignment horizontal="center" vertical="center"/>
    </xf>
    <xf numFmtId="0" fontId="68" fillId="30" borderId="4" xfId="0" applyFont="1" applyFill="1" applyBorder="1" applyAlignment="1" quotePrefix="1">
      <alignment horizontal="center" vertical="center"/>
    </xf>
    <xf numFmtId="4" fontId="69" fillId="30" borderId="4" xfId="75" applyNumberFormat="1" applyFont="1" applyFill="1" applyBorder="1" applyAlignment="1">
      <alignment horizontal="center" vertical="center" wrapText="1"/>
    </xf>
    <xf numFmtId="0" fontId="21" fillId="30" borderId="4" xfId="0" applyFont="1" applyFill="1" applyBorder="1" applyAlignment="1">
      <alignment horizontal="center" vertical="center" wrapText="1"/>
    </xf>
    <xf numFmtId="0" fontId="21" fillId="30" borderId="4" xfId="0" applyFont="1" applyFill="1" applyBorder="1" applyAlignment="1">
      <alignment horizontal="center" vertical="center" wrapText="1"/>
    </xf>
    <xf numFmtId="0" fontId="71" fillId="30" borderId="0" xfId="0" applyFont="1" applyFill="1" applyAlignment="1">
      <alignment vertical="center" wrapText="1"/>
    </xf>
    <xf numFmtId="3" fontId="21" fillId="30" borderId="8" xfId="75" applyNumberFormat="1" applyFont="1" applyFill="1" applyBorder="1" applyAlignment="1">
      <alignment horizontal="center" vertical="center" wrapText="1"/>
    </xf>
    <xf numFmtId="0" fontId="72" fillId="30" borderId="0" xfId="0" applyFont="1" applyFill="1" applyAlignment="1">
      <alignment vertical="center" wrapText="1"/>
    </xf>
    <xf numFmtId="0" fontId="70" fillId="30" borderId="0" xfId="0" applyFont="1" applyFill="1" applyAlignment="1">
      <alignment vertical="center" wrapText="1"/>
    </xf>
    <xf numFmtId="0" fontId="69" fillId="30" borderId="4" xfId="0" applyFont="1" applyFill="1" applyBorder="1" applyAlignment="1">
      <alignment horizontal="center" vertical="center" wrapText="1"/>
    </xf>
    <xf numFmtId="0" fontId="21" fillId="30"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3" fontId="21" fillId="28" borderId="4" xfId="75" applyNumberFormat="1" applyFont="1" applyFill="1" applyBorder="1" applyAlignment="1">
      <alignment horizontal="right" vertical="center" wrapText="1"/>
    </xf>
    <xf numFmtId="183" fontId="22" fillId="28" borderId="4" xfId="75" applyNumberFormat="1" applyFont="1" applyFill="1" applyBorder="1" applyAlignment="1">
      <alignment horizontal="center" vertical="center" wrapText="1"/>
    </xf>
    <xf numFmtId="3" fontId="22" fillId="28" borderId="4" xfId="75" applyNumberFormat="1" applyFont="1" applyFill="1" applyBorder="1" applyAlignment="1">
      <alignment horizontal="right" vertical="center" wrapText="1"/>
    </xf>
    <xf numFmtId="0" fontId="22" fillId="28"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3" fontId="21" fillId="28" borderId="4" xfId="75" applyNumberFormat="1" applyFont="1" applyFill="1" applyBorder="1" applyAlignment="1">
      <alignment horizontal="right" vertical="center" wrapText="1"/>
    </xf>
    <xf numFmtId="3" fontId="22" fillId="28" borderId="4" xfId="75" applyNumberFormat="1" applyFont="1" applyFill="1" applyBorder="1" applyAlignment="1">
      <alignment horizontal="center" vertical="center" wrapText="1"/>
    </xf>
    <xf numFmtId="0" fontId="0" fillId="28" borderId="0" xfId="0" applyFill="1" applyAlignment="1">
      <alignment horizontal="center" vertical="center" wrapText="1"/>
    </xf>
    <xf numFmtId="4" fontId="0" fillId="28" borderId="0" xfId="75" applyNumberFormat="1" applyFont="1" applyFill="1" applyAlignment="1">
      <alignment vertical="center" wrapText="1"/>
    </xf>
    <xf numFmtId="3" fontId="22" fillId="30" borderId="4" xfId="75" applyNumberFormat="1" applyFont="1" applyFill="1" applyBorder="1" applyAlignment="1">
      <alignment vertical="center" wrapText="1"/>
    </xf>
    <xf numFmtId="0" fontId="21" fillId="30" borderId="4" xfId="0" applyFont="1" applyFill="1" applyBorder="1" applyAlignment="1">
      <alignment vertical="center" wrapText="1"/>
    </xf>
    <xf numFmtId="0" fontId="87" fillId="0" borderId="0" xfId="0" applyFont="1" applyAlignment="1">
      <alignment horizontal="center" vertical="center" wrapText="1"/>
    </xf>
    <xf numFmtId="4" fontId="69" fillId="30" borderId="4" xfId="75" applyNumberFormat="1" applyFont="1" applyFill="1" applyBorder="1" applyAlignment="1">
      <alignment horizontal="center" vertical="center" wrapText="1"/>
    </xf>
    <xf numFmtId="0" fontId="21" fillId="30"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0" fontId="73" fillId="30" borderId="0" xfId="0" applyFont="1" applyFill="1" applyAlignment="1">
      <alignment vertical="center" wrapText="1"/>
    </xf>
    <xf numFmtId="0" fontId="21" fillId="30"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182" fontId="79" fillId="30" borderId="4" xfId="75" applyNumberFormat="1" applyFont="1" applyFill="1" applyBorder="1" applyAlignment="1">
      <alignment horizontal="center" vertical="center" wrapText="1"/>
    </xf>
    <xf numFmtId="180" fontId="22" fillId="30" borderId="4" xfId="75" applyNumberFormat="1" applyFont="1" applyFill="1" applyBorder="1" applyAlignment="1">
      <alignment horizontal="right" vertical="center" wrapText="1"/>
    </xf>
    <xf numFmtId="1" fontId="22" fillId="30" borderId="4" xfId="75" applyNumberFormat="1" applyFont="1" applyFill="1" applyBorder="1" applyAlignment="1">
      <alignment horizontal="right" vertical="center" wrapText="1"/>
    </xf>
    <xf numFmtId="0" fontId="89" fillId="0" borderId="0" xfId="0" applyFont="1" applyAlignment="1">
      <alignment horizontal="left" vertical="center" wrapText="1"/>
    </xf>
    <xf numFmtId="0" fontId="89" fillId="0" borderId="0" xfId="0" applyFont="1" applyAlignment="1">
      <alignment horizontal="left" vertical="center"/>
    </xf>
    <xf numFmtId="0" fontId="77" fillId="0" borderId="0" xfId="0" applyFont="1" applyAlignment="1">
      <alignment horizontal="center" vertical="center"/>
    </xf>
    <xf numFmtId="0" fontId="74" fillId="0" borderId="0" xfId="0" applyFont="1" applyAlignment="1">
      <alignment horizontal="right" vertical="center"/>
    </xf>
    <xf numFmtId="0" fontId="69" fillId="30" borderId="4" xfId="0" applyFont="1" applyFill="1" applyBorder="1" applyAlignment="1">
      <alignment horizontal="center" vertical="center" wrapText="1"/>
    </xf>
    <xf numFmtId="4" fontId="69" fillId="30" borderId="4" xfId="75" applyNumberFormat="1" applyFont="1" applyFill="1" applyBorder="1" applyAlignment="1">
      <alignment horizontal="center" vertical="center" wrapText="1"/>
    </xf>
    <xf numFmtId="0" fontId="90" fillId="0" borderId="0" xfId="0" applyFont="1" applyAlignment="1">
      <alignment horizontal="center" vertical="center"/>
    </xf>
    <xf numFmtId="0" fontId="68" fillId="30" borderId="8" xfId="0" applyFont="1" applyFill="1" applyBorder="1" applyAlignment="1">
      <alignment horizontal="center" vertical="center"/>
    </xf>
    <xf numFmtId="0" fontId="68" fillId="30" borderId="5" xfId="0" applyFont="1" applyFill="1" applyBorder="1" applyAlignment="1">
      <alignment horizontal="center" vertical="center"/>
    </xf>
    <xf numFmtId="0" fontId="68" fillId="30" borderId="9" xfId="0" applyFont="1" applyFill="1" applyBorder="1" applyAlignment="1">
      <alignment horizontal="center" vertical="center"/>
    </xf>
    <xf numFmtId="4" fontId="69" fillId="30" borderId="7" xfId="75" applyNumberFormat="1" applyFont="1" applyFill="1" applyBorder="1" applyAlignment="1">
      <alignment horizontal="center" vertical="center" wrapText="1"/>
    </xf>
    <xf numFmtId="4" fontId="69" fillId="30" borderId="10" xfId="75" applyNumberFormat="1" applyFont="1" applyFill="1" applyBorder="1" applyAlignment="1">
      <alignment horizontal="center" vertical="center" wrapText="1"/>
    </xf>
    <xf numFmtId="4" fontId="69" fillId="30" borderId="6" xfId="75" applyNumberFormat="1" applyFont="1" applyFill="1" applyBorder="1" applyAlignment="1">
      <alignment horizontal="center" vertical="center" wrapText="1"/>
    </xf>
    <xf numFmtId="0" fontId="71" fillId="30" borderId="0" xfId="0" applyFont="1" applyFill="1" applyAlignment="1" quotePrefix="1">
      <alignment vertical="center" wrapText="1"/>
    </xf>
    <xf numFmtId="0" fontId="71" fillId="30" borderId="0" xfId="0" applyFont="1" applyFill="1" applyAlignment="1">
      <alignment vertical="center" wrapText="1"/>
    </xf>
    <xf numFmtId="0" fontId="21" fillId="30" borderId="4" xfId="0" applyFont="1" applyFill="1" applyBorder="1" applyAlignment="1">
      <alignment horizontal="center" vertical="center" wrapText="1"/>
    </xf>
    <xf numFmtId="0" fontId="89" fillId="0" borderId="0" xfId="0" applyFont="1" applyAlignment="1">
      <alignment vertical="center" wrapText="1"/>
    </xf>
    <xf numFmtId="4" fontId="21" fillId="28" borderId="4" xfId="75" applyNumberFormat="1" applyFont="1" applyFill="1" applyBorder="1" applyAlignment="1">
      <alignment horizontal="center" vertical="center" wrapText="1"/>
    </xf>
    <xf numFmtId="0" fontId="21" fillId="28" borderId="4" xfId="0" applyFont="1" applyFill="1" applyBorder="1" applyAlignment="1">
      <alignment horizontal="center" vertical="center" wrapText="1"/>
    </xf>
    <xf numFmtId="0" fontId="90" fillId="30" borderId="0" xfId="0" applyFont="1" applyFill="1" applyAlignment="1">
      <alignment horizontal="center" vertical="center" wrapText="1"/>
    </xf>
    <xf numFmtId="4" fontId="21" fillId="30" borderId="4" xfId="75" applyNumberFormat="1" applyFont="1" applyFill="1" applyBorder="1" applyAlignment="1">
      <alignment horizontal="center" vertical="center" wrapText="1"/>
    </xf>
    <xf numFmtId="0" fontId="69" fillId="28" borderId="4" xfId="0" applyFont="1" applyFill="1" applyBorder="1" applyAlignment="1">
      <alignment horizontal="center" vertical="center" wrapText="1"/>
    </xf>
    <xf numFmtId="0" fontId="77" fillId="30" borderId="0" xfId="0" applyFont="1" applyFill="1" applyAlignment="1">
      <alignment horizontal="center" vertical="center" wrapText="1"/>
    </xf>
    <xf numFmtId="0" fontId="74" fillId="30" borderId="0" xfId="0" applyFont="1" applyFill="1" applyAlignment="1">
      <alignment horizontal="right" vertical="center" wrapText="1"/>
    </xf>
    <xf numFmtId="0" fontId="21" fillId="30" borderId="6" xfId="0" applyFont="1" applyFill="1" applyBorder="1" applyAlignment="1">
      <alignment horizontal="center" vertical="center" wrapText="1"/>
    </xf>
    <xf numFmtId="0" fontId="69" fillId="0" borderId="4" xfId="0" applyFont="1" applyBorder="1" applyAlignment="1">
      <alignment horizontal="center" vertical="center" wrapText="1"/>
    </xf>
    <xf numFmtId="0" fontId="72" fillId="0" borderId="11" xfId="0" applyFont="1" applyBorder="1" applyAlignment="1">
      <alignment horizontal="center" vertical="center" wrapText="1"/>
    </xf>
    <xf numFmtId="0" fontId="69" fillId="0" borderId="6" xfId="0" applyFont="1" applyBorder="1" applyAlignment="1">
      <alignment horizontal="center" vertical="center" wrapText="1"/>
    </xf>
    <xf numFmtId="0" fontId="74" fillId="0" borderId="0" xfId="0" applyFont="1" applyAlignment="1">
      <alignment horizontal="right" vertical="center" wrapText="1"/>
    </xf>
    <xf numFmtId="0" fontId="77" fillId="0" borderId="0" xfId="0" applyFont="1" applyAlignment="1">
      <alignment horizontal="center" vertical="center" wrapText="1"/>
    </xf>
    <xf numFmtId="0" fontId="87" fillId="0" borderId="0" xfId="0" applyFont="1" applyAlignment="1">
      <alignment horizontal="center" vertical="center" wrapText="1"/>
    </xf>
    <xf numFmtId="0" fontId="74" fillId="0" borderId="0" xfId="0" applyFont="1" applyAlignment="1">
      <alignment horizontal="center" vertical="center" wrapText="1"/>
    </xf>
    <xf numFmtId="3" fontId="69" fillId="28" borderId="4" xfId="0" applyNumberFormat="1" applyFont="1" applyFill="1" applyBorder="1" applyAlignment="1">
      <alignment horizontal="center" vertical="center" wrapText="1"/>
    </xf>
    <xf numFmtId="0" fontId="69" fillId="28" borderId="8" xfId="0" applyFont="1" applyFill="1" applyBorder="1" applyAlignment="1">
      <alignment horizontal="center" vertical="center" wrapText="1"/>
    </xf>
    <xf numFmtId="0" fontId="69" fillId="28" borderId="9" xfId="0" applyFont="1" applyFill="1" applyBorder="1" applyAlignment="1">
      <alignment horizontal="center" vertical="center" wrapText="1"/>
    </xf>
    <xf numFmtId="3" fontId="69"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69" fillId="28" borderId="12" xfId="0" applyNumberFormat="1" applyFont="1" applyFill="1" applyBorder="1" applyAlignment="1">
      <alignment horizontal="center" vertical="center" wrapText="1"/>
    </xf>
    <xf numFmtId="3" fontId="69" fillId="28" borderId="13" xfId="0" applyNumberFormat="1" applyFont="1" applyFill="1" applyBorder="1" applyAlignment="1">
      <alignment horizontal="center" vertical="center" wrapText="1"/>
    </xf>
    <xf numFmtId="3" fontId="69" fillId="28" borderId="14" xfId="0" applyNumberFormat="1" applyFont="1" applyFill="1" applyBorder="1" applyAlignment="1">
      <alignment horizontal="center" vertical="center" wrapText="1"/>
    </xf>
    <xf numFmtId="3" fontId="69" fillId="28" borderId="15" xfId="0" applyNumberFormat="1" applyFont="1" applyFill="1" applyBorder="1" applyAlignment="1">
      <alignment horizontal="center" vertical="center" wrapText="1"/>
    </xf>
    <xf numFmtId="3" fontId="69" fillId="28" borderId="16" xfId="0" applyNumberFormat="1" applyFont="1" applyFill="1" applyBorder="1" applyAlignment="1">
      <alignment horizontal="center" vertical="center" wrapText="1"/>
    </xf>
    <xf numFmtId="3" fontId="69" fillId="28" borderId="17" xfId="0" applyNumberFormat="1" applyFont="1" applyFill="1" applyBorder="1" applyAlignment="1">
      <alignment horizontal="center" vertical="center" wrapText="1"/>
    </xf>
    <xf numFmtId="0" fontId="69" fillId="0" borderId="12"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3" fontId="0" fillId="28" borderId="11" xfId="0" applyNumberFormat="1" applyFill="1" applyBorder="1" applyAlignment="1">
      <alignment horizontal="center" vertical="center"/>
    </xf>
    <xf numFmtId="3" fontId="0" fillId="28" borderId="0" xfId="0" applyNumberFormat="1" applyFill="1" applyAlignment="1">
      <alignment horizontal="center" vertical="center"/>
    </xf>
    <xf numFmtId="0" fontId="89" fillId="0" borderId="13" xfId="0" applyFont="1" applyBorder="1" applyAlignment="1">
      <alignment horizontal="left" vertical="center"/>
    </xf>
    <xf numFmtId="0" fontId="74" fillId="0" borderId="16" xfId="0" applyFont="1" applyBorder="1" applyAlignment="1">
      <alignment horizontal="center" vertical="center" wrapText="1"/>
    </xf>
    <xf numFmtId="3" fontId="69" fillId="0" borderId="8" xfId="0" applyNumberFormat="1" applyFont="1" applyBorder="1" applyAlignment="1">
      <alignment horizontal="center" vertical="center" wrapText="1"/>
    </xf>
    <xf numFmtId="3" fontId="69" fillId="0" borderId="9" xfId="0" applyNumberFormat="1" applyFont="1" applyBorder="1" applyAlignment="1">
      <alignment horizontal="center" vertical="center" wrapText="1"/>
    </xf>
    <xf numFmtId="3" fontId="69" fillId="0" borderId="7" xfId="0" applyNumberFormat="1" applyFont="1" applyBorder="1" applyAlignment="1">
      <alignment horizontal="center" vertical="center" wrapText="1"/>
    </xf>
    <xf numFmtId="3" fontId="69" fillId="0" borderId="6" xfId="0" applyNumberFormat="1" applyFont="1" applyBorder="1" applyAlignment="1">
      <alignment horizontal="center" vertical="center" wrapText="1"/>
    </xf>
    <xf numFmtId="0" fontId="68" fillId="28" borderId="11" xfId="0" applyFont="1" applyFill="1" applyBorder="1" applyAlignment="1">
      <alignment horizontal="center" vertical="center" wrapText="1"/>
    </xf>
    <xf numFmtId="0" fontId="68" fillId="0" borderId="0" xfId="0" applyFont="1" applyAlignment="1">
      <alignment horizontal="left" vertical="center" wrapText="1"/>
    </xf>
    <xf numFmtId="0" fontId="68" fillId="0" borderId="0" xfId="0" applyFont="1" applyBorder="1" applyAlignment="1">
      <alignment vertical="center" wrapText="1"/>
    </xf>
    <xf numFmtId="3" fontId="91" fillId="30" borderId="4" xfId="75" applyNumberFormat="1" applyFont="1" applyFill="1" applyBorder="1" applyAlignment="1">
      <alignment horizontal="right" vertical="center"/>
    </xf>
    <xf numFmtId="0" fontId="22" fillId="30" borderId="4" xfId="0" applyFont="1" applyFill="1" applyBorder="1" applyAlignment="1">
      <alignment horizontal="left" vertical="center" wrapText="1"/>
    </xf>
  </cellXfs>
  <cellStyles count="93">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rmal_Bieu mau (CV )" xfId="98"/>
    <cellStyle name="Note" xfId="99"/>
    <cellStyle name="Output" xfId="100"/>
    <cellStyle name="Percent" xfId="101"/>
    <cellStyle name="Title" xfId="102"/>
    <cellStyle name="Total" xfId="103"/>
    <cellStyle name="Warning Text" xfId="104"/>
    <cellStyle name="콤마 [0]_ 비목별 월별기술 " xfId="105"/>
    <cellStyle name="콤마_ 비목별 월별기술 "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L32"/>
  <sheetViews>
    <sheetView showZeros="0" tabSelected="1" zoomScale="70" zoomScaleNormal="70" zoomScalePageLayoutView="0" workbookViewId="0" topLeftCell="A15">
      <selection activeCell="J28" sqref="J28"/>
    </sheetView>
  </sheetViews>
  <sheetFormatPr defaultColWidth="9.140625" defaultRowHeight="15"/>
  <cols>
    <col min="1" max="1" width="7.00390625" style="6" customWidth="1"/>
    <col min="2" max="2" width="67.7109375" style="9" customWidth="1"/>
    <col min="3" max="3" width="29.00390625" style="115" hidden="1" customWidth="1"/>
    <col min="4" max="4" width="22.140625" style="115" hidden="1" customWidth="1"/>
    <col min="5" max="5" width="24.28125" style="115" hidden="1" customWidth="1"/>
    <col min="6" max="6" width="23.00390625" style="115" customWidth="1"/>
    <col min="7" max="7" width="17.421875" style="115" customWidth="1"/>
    <col min="8" max="8" width="19.8515625" style="115" customWidth="1"/>
    <col min="9" max="9" width="19.140625" style="115" customWidth="1"/>
    <col min="10" max="10" width="23.140625" style="6" customWidth="1"/>
    <col min="11" max="11" width="9.140625" style="1" customWidth="1"/>
    <col min="12" max="12" width="9.421875" style="1" bestFit="1" customWidth="1"/>
    <col min="13" max="16384" width="9.140625" style="1" customWidth="1"/>
  </cols>
  <sheetData>
    <row r="1" spans="1:10" s="38" customFormat="1" ht="18.75">
      <c r="A1" s="306" t="s">
        <v>280</v>
      </c>
      <c r="B1" s="306"/>
      <c r="C1" s="306"/>
      <c r="D1" s="306"/>
      <c r="E1" s="306"/>
      <c r="F1" s="306"/>
      <c r="G1" s="306"/>
      <c r="H1" s="306"/>
      <c r="I1" s="306"/>
      <c r="J1" s="306"/>
    </row>
    <row r="2" spans="1:10" s="38" customFormat="1" ht="22.5" customHeight="1" hidden="1">
      <c r="A2" s="310" t="s">
        <v>235</v>
      </c>
      <c r="B2" s="310"/>
      <c r="C2" s="310"/>
      <c r="D2" s="310"/>
      <c r="E2" s="310"/>
      <c r="F2" s="310"/>
      <c r="G2" s="310"/>
      <c r="H2" s="310"/>
      <c r="I2" s="310"/>
      <c r="J2" s="310"/>
    </row>
    <row r="3" spans="1:10" s="38" customFormat="1" ht="22.5" customHeight="1">
      <c r="A3" s="310" t="s">
        <v>249</v>
      </c>
      <c r="B3" s="310"/>
      <c r="C3" s="310"/>
      <c r="D3" s="310"/>
      <c r="E3" s="310"/>
      <c r="F3" s="310"/>
      <c r="G3" s="310"/>
      <c r="H3" s="310"/>
      <c r="I3" s="310"/>
      <c r="J3" s="310"/>
    </row>
    <row r="4" spans="1:10" s="38" customFormat="1" ht="22.5" customHeight="1" hidden="1">
      <c r="A4" s="310" t="s">
        <v>252</v>
      </c>
      <c r="B4" s="310"/>
      <c r="C4" s="310"/>
      <c r="D4" s="310"/>
      <c r="E4" s="310"/>
      <c r="F4" s="310"/>
      <c r="G4" s="310"/>
      <c r="H4" s="310"/>
      <c r="I4" s="310"/>
      <c r="J4" s="310"/>
    </row>
    <row r="5" spans="1:10" s="38" customFormat="1" ht="22.5" customHeight="1" hidden="1">
      <c r="A5" s="310" t="s">
        <v>253</v>
      </c>
      <c r="B5" s="310"/>
      <c r="C5" s="310"/>
      <c r="D5" s="310"/>
      <c r="E5" s="310"/>
      <c r="F5" s="310"/>
      <c r="G5" s="310"/>
      <c r="H5" s="310"/>
      <c r="I5" s="310"/>
      <c r="J5" s="310"/>
    </row>
    <row r="6" spans="1:10" ht="24" customHeight="1">
      <c r="A6" s="5"/>
      <c r="B6" s="8"/>
      <c r="C6" s="307" t="s">
        <v>251</v>
      </c>
      <c r="D6" s="307"/>
      <c r="E6" s="307"/>
      <c r="F6" s="307"/>
      <c r="G6" s="307"/>
      <c r="H6" s="307"/>
      <c r="I6" s="307"/>
      <c r="J6" s="307"/>
    </row>
    <row r="7" spans="1:10" ht="50.25" customHeight="1">
      <c r="A7" s="308" t="s">
        <v>1</v>
      </c>
      <c r="B7" s="308" t="s">
        <v>240</v>
      </c>
      <c r="C7" s="309" t="s">
        <v>241</v>
      </c>
      <c r="D7" s="309"/>
      <c r="E7" s="309"/>
      <c r="F7" s="314" t="s">
        <v>255</v>
      </c>
      <c r="G7" s="315"/>
      <c r="H7" s="315"/>
      <c r="I7" s="316"/>
      <c r="J7" s="308" t="s">
        <v>3</v>
      </c>
    </row>
    <row r="8" spans="1:10" ht="25.5" customHeight="1">
      <c r="A8" s="308"/>
      <c r="B8" s="308"/>
      <c r="C8" s="309" t="s">
        <v>30</v>
      </c>
      <c r="D8" s="309"/>
      <c r="E8" s="309"/>
      <c r="F8" s="309" t="s">
        <v>30</v>
      </c>
      <c r="G8" s="309"/>
      <c r="H8" s="309"/>
      <c r="I8" s="309"/>
      <c r="J8" s="308"/>
    </row>
    <row r="9" spans="1:10" ht="25.5" customHeight="1">
      <c r="A9" s="308"/>
      <c r="B9" s="308"/>
      <c r="C9" s="309" t="s">
        <v>14</v>
      </c>
      <c r="D9" s="309" t="s">
        <v>17</v>
      </c>
      <c r="E9" s="309"/>
      <c r="F9" s="309" t="s">
        <v>14</v>
      </c>
      <c r="G9" s="309" t="s">
        <v>17</v>
      </c>
      <c r="H9" s="309"/>
      <c r="I9" s="309"/>
      <c r="J9" s="308"/>
    </row>
    <row r="10" spans="1:10" ht="72.75" customHeight="1">
      <c r="A10" s="308"/>
      <c r="B10" s="308"/>
      <c r="C10" s="309"/>
      <c r="D10" s="266" t="s">
        <v>25</v>
      </c>
      <c r="E10" s="266" t="s">
        <v>152</v>
      </c>
      <c r="F10" s="309"/>
      <c r="G10" s="295" t="s">
        <v>25</v>
      </c>
      <c r="H10" s="295" t="s">
        <v>282</v>
      </c>
      <c r="I10" s="273" t="s">
        <v>152</v>
      </c>
      <c r="J10" s="308"/>
    </row>
    <row r="11" spans="1:10" s="4" customFormat="1" ht="37.5" customHeight="1">
      <c r="A11" s="269"/>
      <c r="B11" s="280" t="s">
        <v>248</v>
      </c>
      <c r="C11" s="242" t="e">
        <f aca="true" t="shared" si="0" ref="C11:I11">C12+C25</f>
        <v>#REF!</v>
      </c>
      <c r="D11" s="242" t="e">
        <f t="shared" si="0"/>
        <v>#REF!</v>
      </c>
      <c r="E11" s="242" t="e">
        <f t="shared" si="0"/>
        <v>#REF!</v>
      </c>
      <c r="F11" s="242">
        <f t="shared" si="0"/>
        <v>82620</v>
      </c>
      <c r="G11" s="242">
        <f t="shared" si="0"/>
        <v>78321</v>
      </c>
      <c r="H11" s="242">
        <f t="shared" si="0"/>
        <v>400</v>
      </c>
      <c r="I11" s="242">
        <f t="shared" si="0"/>
        <v>3899</v>
      </c>
      <c r="J11" s="270"/>
    </row>
    <row r="12" spans="1:10" s="4" customFormat="1" ht="45" customHeight="1">
      <c r="A12" s="269" t="s">
        <v>4</v>
      </c>
      <c r="B12" s="53" t="s">
        <v>29</v>
      </c>
      <c r="C12" s="242" t="e">
        <f>C13+#REF!</f>
        <v>#REF!</v>
      </c>
      <c r="D12" s="242" t="e">
        <f>D13+#REF!</f>
        <v>#REF!</v>
      </c>
      <c r="E12" s="242" t="e">
        <f>E13+#REF!</f>
        <v>#REF!</v>
      </c>
      <c r="F12" s="242">
        <f>F13</f>
        <v>44217</v>
      </c>
      <c r="G12" s="242">
        <f>G13</f>
        <v>44217</v>
      </c>
      <c r="H12" s="242">
        <f>H13</f>
        <v>0</v>
      </c>
      <c r="I12" s="242">
        <f>I13</f>
        <v>0</v>
      </c>
      <c r="J12" s="269"/>
    </row>
    <row r="13" spans="1:12" s="257" customFormat="1" ht="38.25" customHeight="1">
      <c r="A13" s="269">
        <v>1</v>
      </c>
      <c r="B13" s="53" t="s">
        <v>54</v>
      </c>
      <c r="C13" s="242" t="e">
        <f>C14+C18+#REF!+#REF!+#REF!+#REF!+#REF!</f>
        <v>#REF!</v>
      </c>
      <c r="D13" s="242" t="e">
        <f>D14+D18+#REF!+#REF!+#REF!+#REF!+#REF!</f>
        <v>#REF!</v>
      </c>
      <c r="E13" s="242" t="e">
        <f>E14+E18+#REF!+#REF!+#REF!+#REF!+#REF!</f>
        <v>#REF!</v>
      </c>
      <c r="F13" s="242">
        <f>F14+F18</f>
        <v>44217</v>
      </c>
      <c r="G13" s="242">
        <f>G14+G18</f>
        <v>44217</v>
      </c>
      <c r="H13" s="242">
        <f>H14+H18</f>
        <v>0</v>
      </c>
      <c r="I13" s="242">
        <f>I14+I18</f>
        <v>0</v>
      </c>
      <c r="J13" s="311" t="s">
        <v>82</v>
      </c>
      <c r="L13" s="258"/>
    </row>
    <row r="14" spans="1:10" s="257" customFormat="1" ht="45" customHeight="1">
      <c r="A14" s="269" t="s">
        <v>31</v>
      </c>
      <c r="B14" s="53" t="s">
        <v>24</v>
      </c>
      <c r="C14" s="242" t="e">
        <f>C15+C16+#REF!+#REF!+C17</f>
        <v>#REF!</v>
      </c>
      <c r="D14" s="242" t="e">
        <f>D15+D16+#REF!+#REF!+D17</f>
        <v>#REF!</v>
      </c>
      <c r="E14" s="242" t="e">
        <f>E15+E16+#REF!+#REF!+E17</f>
        <v>#REF!</v>
      </c>
      <c r="F14" s="242">
        <f>F15+F16+F17</f>
        <v>13926</v>
      </c>
      <c r="G14" s="242">
        <f>G15+G16+G17</f>
        <v>13926</v>
      </c>
      <c r="H14" s="242"/>
      <c r="I14" s="242">
        <f>I15+I16+I17</f>
        <v>0</v>
      </c>
      <c r="J14" s="312"/>
    </row>
    <row r="15" spans="1:10" s="259" customFormat="1" ht="45" customHeight="1">
      <c r="A15" s="271" t="s">
        <v>5</v>
      </c>
      <c r="B15" s="80" t="s">
        <v>19</v>
      </c>
      <c r="C15" s="267">
        <v>5720</v>
      </c>
      <c r="D15" s="268">
        <v>5720</v>
      </c>
      <c r="E15" s="70"/>
      <c r="F15" s="267">
        <f>G15</f>
        <v>5926</v>
      </c>
      <c r="G15" s="268">
        <f>'B.02.PhanCap'!AP13</f>
        <v>5926</v>
      </c>
      <c r="H15" s="268"/>
      <c r="I15" s="70"/>
      <c r="J15" s="312"/>
    </row>
    <row r="16" spans="1:10" s="259" customFormat="1" ht="28.5" customHeight="1">
      <c r="A16" s="271" t="s">
        <v>5</v>
      </c>
      <c r="B16" s="80" t="s">
        <v>23</v>
      </c>
      <c r="C16" s="267">
        <v>3000</v>
      </c>
      <c r="D16" s="268">
        <v>3000</v>
      </c>
      <c r="E16" s="70"/>
      <c r="F16" s="267">
        <f>G16</f>
        <v>3000</v>
      </c>
      <c r="G16" s="268">
        <f>'B.02.PhanCap'!AO24</f>
        <v>3000</v>
      </c>
      <c r="H16" s="268"/>
      <c r="I16" s="70"/>
      <c r="J16" s="312"/>
    </row>
    <row r="17" spans="1:10" s="259" customFormat="1" ht="36" customHeight="1">
      <c r="A17" s="272" t="s">
        <v>5</v>
      </c>
      <c r="B17" s="80" t="s">
        <v>230</v>
      </c>
      <c r="C17" s="267">
        <v>10000</v>
      </c>
      <c r="D17" s="268">
        <v>10000</v>
      </c>
      <c r="E17" s="70"/>
      <c r="F17" s="267">
        <f>G17</f>
        <v>5000</v>
      </c>
      <c r="G17" s="268">
        <f>'B.02.PhanCap'!AO31</f>
        <v>5000</v>
      </c>
      <c r="H17" s="268"/>
      <c r="I17" s="70"/>
      <c r="J17" s="312"/>
    </row>
    <row r="18" spans="1:10" s="257" customFormat="1" ht="42" customHeight="1">
      <c r="A18" s="269" t="s">
        <v>32</v>
      </c>
      <c r="B18" s="53" t="s">
        <v>154</v>
      </c>
      <c r="C18" s="242">
        <f>C19+C20+C23+C24</f>
        <v>22100</v>
      </c>
      <c r="D18" s="242">
        <f>D19+D20+D23+D24</f>
        <v>22100</v>
      </c>
      <c r="E18" s="242">
        <f>E19+E20+E23+E24</f>
        <v>0</v>
      </c>
      <c r="F18" s="242">
        <f>F19+F20</f>
        <v>30291</v>
      </c>
      <c r="G18" s="242">
        <f>G19+G20</f>
        <v>30291</v>
      </c>
      <c r="H18" s="242"/>
      <c r="I18" s="242">
        <f>I19+I20</f>
        <v>0</v>
      </c>
      <c r="J18" s="312"/>
    </row>
    <row r="19" spans="1:10" s="260" customFormat="1" ht="43.5" customHeight="1">
      <c r="A19" s="272" t="s">
        <v>5</v>
      </c>
      <c r="B19" s="55" t="s">
        <v>218</v>
      </c>
      <c r="C19" s="267">
        <v>100</v>
      </c>
      <c r="D19" s="70">
        <v>100</v>
      </c>
      <c r="E19" s="70"/>
      <c r="F19" s="267">
        <f>G19</f>
        <v>291</v>
      </c>
      <c r="G19" s="70">
        <f>'B.02.PhanCap'!AP37</f>
        <v>291</v>
      </c>
      <c r="H19" s="70"/>
      <c r="I19" s="70"/>
      <c r="J19" s="312"/>
    </row>
    <row r="20" spans="1:10" s="261" customFormat="1" ht="46.5" customHeight="1">
      <c r="A20" s="272" t="s">
        <v>5</v>
      </c>
      <c r="B20" s="80" t="s">
        <v>184</v>
      </c>
      <c r="C20" s="267">
        <v>19500</v>
      </c>
      <c r="D20" s="70">
        <v>19500</v>
      </c>
      <c r="E20" s="70"/>
      <c r="F20" s="267">
        <f>F21+F22+F23+F24</f>
        <v>30000</v>
      </c>
      <c r="G20" s="267">
        <f>G21+G22+G23+G24</f>
        <v>30000</v>
      </c>
      <c r="H20" s="70"/>
      <c r="I20" s="70"/>
      <c r="J20" s="312"/>
    </row>
    <row r="21" spans="1:10" s="261" customFormat="1" ht="46.5" customHeight="1">
      <c r="A21" s="272" t="s">
        <v>183</v>
      </c>
      <c r="B21" s="80" t="s">
        <v>287</v>
      </c>
      <c r="C21" s="267"/>
      <c r="D21" s="70"/>
      <c r="E21" s="70"/>
      <c r="F21" s="364">
        <v>1365</v>
      </c>
      <c r="G21" s="364">
        <v>1365</v>
      </c>
      <c r="H21" s="70"/>
      <c r="I21" s="70"/>
      <c r="J21" s="312"/>
    </row>
    <row r="22" spans="1:10" s="260" customFormat="1" ht="35.25" customHeight="1">
      <c r="A22" s="272" t="s">
        <v>183</v>
      </c>
      <c r="B22" s="55" t="s">
        <v>185</v>
      </c>
      <c r="C22" s="267">
        <v>18764</v>
      </c>
      <c r="D22" s="267">
        <v>18764</v>
      </c>
      <c r="E22" s="70"/>
      <c r="F22" s="364">
        <f>G22</f>
        <v>19695</v>
      </c>
      <c r="G22" s="364">
        <f>'B.02.PhanCap'!AP40</f>
        <v>19695</v>
      </c>
      <c r="H22" s="267"/>
      <c r="I22" s="70"/>
      <c r="J22" s="312"/>
    </row>
    <row r="23" spans="1:10" s="261" customFormat="1" ht="52.5" customHeight="1">
      <c r="A23" s="272" t="s">
        <v>183</v>
      </c>
      <c r="B23" s="80" t="s">
        <v>159</v>
      </c>
      <c r="C23" s="267">
        <v>2500</v>
      </c>
      <c r="D23" s="70">
        <v>2500</v>
      </c>
      <c r="E23" s="70"/>
      <c r="F23" s="364">
        <f>G23</f>
        <v>2700</v>
      </c>
      <c r="G23" s="364">
        <f>'B.02.PhanCap'!AP53</f>
        <v>2700</v>
      </c>
      <c r="H23" s="70"/>
      <c r="I23" s="70"/>
      <c r="J23" s="312"/>
    </row>
    <row r="24" spans="1:10" s="261" customFormat="1" ht="52.5" customHeight="1">
      <c r="A24" s="272" t="s">
        <v>183</v>
      </c>
      <c r="B24" s="80" t="s">
        <v>242</v>
      </c>
      <c r="C24" s="267"/>
      <c r="D24" s="70"/>
      <c r="E24" s="70"/>
      <c r="F24" s="364">
        <f>G24</f>
        <v>6240</v>
      </c>
      <c r="G24" s="364">
        <f>'B.02.PhanCap'!AP56</f>
        <v>6240</v>
      </c>
      <c r="H24" s="70"/>
      <c r="I24" s="70"/>
      <c r="J24" s="313"/>
    </row>
    <row r="25" spans="1:10" s="7" customFormat="1" ht="45" customHeight="1">
      <c r="A25" s="269" t="s">
        <v>6</v>
      </c>
      <c r="B25" s="53" t="s">
        <v>153</v>
      </c>
      <c r="C25" s="242" t="e">
        <f>C26+#REF!</f>
        <v>#REF!</v>
      </c>
      <c r="D25" s="242" t="e">
        <f>D26+#REF!</f>
        <v>#REF!</v>
      </c>
      <c r="E25" s="242" t="e">
        <f>E26+#REF!</f>
        <v>#REF!</v>
      </c>
      <c r="F25" s="242">
        <f>F26</f>
        <v>38403</v>
      </c>
      <c r="G25" s="242">
        <f>G26</f>
        <v>34104</v>
      </c>
      <c r="H25" s="242">
        <f>H26</f>
        <v>400</v>
      </c>
      <c r="I25" s="242">
        <f>I26</f>
        <v>3899</v>
      </c>
      <c r="J25" s="269"/>
    </row>
    <row r="26" spans="1:10" s="259" customFormat="1" ht="45" customHeight="1">
      <c r="A26" s="269">
        <v>1</v>
      </c>
      <c r="B26" s="53" t="s">
        <v>7</v>
      </c>
      <c r="C26" s="242">
        <f>SUM(C27:C28)</f>
        <v>26549</v>
      </c>
      <c r="D26" s="242">
        <f>SUM(D27:D28)</f>
        <v>23581</v>
      </c>
      <c r="E26" s="242">
        <f>SUM(E27:E28)</f>
        <v>2968</v>
      </c>
      <c r="F26" s="242">
        <f>F27+F28</f>
        <v>38403</v>
      </c>
      <c r="G26" s="242">
        <f>G27+G28</f>
        <v>34104</v>
      </c>
      <c r="H26" s="242">
        <f>H27+H28</f>
        <v>400</v>
      </c>
      <c r="I26" s="242">
        <f>I27+I28</f>
        <v>3899</v>
      </c>
      <c r="J26" s="269"/>
    </row>
    <row r="27" spans="1:10" s="259" customFormat="1" ht="51" customHeight="1">
      <c r="A27" s="271" t="s">
        <v>31</v>
      </c>
      <c r="B27" s="80" t="s">
        <v>8</v>
      </c>
      <c r="C27" s="70">
        <f>D27+E27</f>
        <v>16809</v>
      </c>
      <c r="D27" s="70">
        <f>8910+5340</f>
        <v>14250</v>
      </c>
      <c r="E27" s="70">
        <f>1160+1399</f>
        <v>2559</v>
      </c>
      <c r="F27" s="70">
        <v>35175</v>
      </c>
      <c r="G27" s="70">
        <v>31105</v>
      </c>
      <c r="H27" s="70">
        <v>400</v>
      </c>
      <c r="I27" s="70">
        <v>3670</v>
      </c>
      <c r="J27" s="271" t="s">
        <v>145</v>
      </c>
    </row>
    <row r="28" spans="1:10" s="259" customFormat="1" ht="51.75" customHeight="1">
      <c r="A28" s="271" t="s">
        <v>32</v>
      </c>
      <c r="B28" s="80" t="s">
        <v>281</v>
      </c>
      <c r="C28" s="70">
        <f>D28+E28</f>
        <v>9740</v>
      </c>
      <c r="D28" s="70">
        <v>9331</v>
      </c>
      <c r="E28" s="70">
        <v>409</v>
      </c>
      <c r="F28" s="70">
        <f>G28+H28+I28</f>
        <v>3228</v>
      </c>
      <c r="G28" s="70">
        <v>2999</v>
      </c>
      <c r="H28" s="70">
        <v>0</v>
      </c>
      <c r="I28" s="70">
        <v>229</v>
      </c>
      <c r="J28" s="271" t="s">
        <v>146</v>
      </c>
    </row>
    <row r="29" spans="5:9" ht="16.5">
      <c r="E29" s="147"/>
      <c r="I29" s="147"/>
    </row>
    <row r="30" spans="1:10" ht="31.5" customHeight="1">
      <c r="A30" s="304"/>
      <c r="B30" s="305"/>
      <c r="C30" s="305"/>
      <c r="D30" s="305"/>
      <c r="E30" s="305"/>
      <c r="F30" s="305"/>
      <c r="G30" s="305"/>
      <c r="H30" s="305"/>
      <c r="I30" s="305"/>
      <c r="J30" s="305"/>
    </row>
    <row r="31" spans="5:9" ht="16.5">
      <c r="E31" s="147"/>
      <c r="I31" s="147"/>
    </row>
    <row r="32" spans="5:9" ht="16.5">
      <c r="E32" s="147"/>
      <c r="I32" s="147"/>
    </row>
  </sheetData>
  <sheetProtection/>
  <mergeCells count="19">
    <mergeCell ref="J13:J24"/>
    <mergeCell ref="F9:F10"/>
    <mergeCell ref="G9:I9"/>
    <mergeCell ref="F7:I7"/>
    <mergeCell ref="A2:J2"/>
    <mergeCell ref="C7:E7"/>
    <mergeCell ref="C8:E8"/>
    <mergeCell ref="A4:J4"/>
    <mergeCell ref="A5:J5"/>
    <mergeCell ref="A30:J30"/>
    <mergeCell ref="A1:J1"/>
    <mergeCell ref="C6:J6"/>
    <mergeCell ref="A7:A10"/>
    <mergeCell ref="B7:B10"/>
    <mergeCell ref="J7:J10"/>
    <mergeCell ref="C9:C10"/>
    <mergeCell ref="D9:E9"/>
    <mergeCell ref="A3:J3"/>
    <mergeCell ref="F8:I8"/>
  </mergeCells>
  <printOptions/>
  <pageMargins left="0.7480314960629921" right="0.15748031496062992" top="1.0236220472440944" bottom="0.5511811023622047" header="0.7874015748031497" footer="0.1968503937007874"/>
  <pageSetup fitToHeight="0" horizontalDpi="600" verticalDpi="600" orientation="landscape" paperSize="9" scale="75"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B59"/>
  <sheetViews>
    <sheetView showZeros="0" zoomScale="70" zoomScaleNormal="70" zoomScaleSheetLayoutView="85" zoomScalePageLayoutView="0" workbookViewId="0" topLeftCell="A1">
      <pane ySplit="10" topLeftCell="A38" activePane="bottomLeft" state="frozen"/>
      <selection pane="topLeft" activeCell="A1" sqref="A1"/>
      <selection pane="bottomLeft" activeCell="AQ45" sqref="AQ45"/>
    </sheetView>
  </sheetViews>
  <sheetFormatPr defaultColWidth="9.140625" defaultRowHeight="15"/>
  <cols>
    <col min="1" max="1" width="5.8515625" style="11" customWidth="1"/>
    <col min="2" max="2" width="50.57421875" style="33" customWidth="1"/>
    <col min="3" max="3" width="14.28125" style="11" customWidth="1"/>
    <col min="4" max="4" width="18.28125" style="11" hidden="1" customWidth="1"/>
    <col min="5" max="5" width="11.7109375" style="9" hidden="1" customWidth="1"/>
    <col min="6" max="6" width="11.57421875" style="9" hidden="1" customWidth="1"/>
    <col min="7" max="7" width="11.7109375" style="47" hidden="1" customWidth="1"/>
    <col min="8" max="8" width="11.421875" style="47" hidden="1" customWidth="1"/>
    <col min="9" max="12" width="14.140625" style="88" hidden="1" customWidth="1"/>
    <col min="13" max="13" width="11.57421875" style="9" hidden="1" customWidth="1"/>
    <col min="14" max="14" width="10.421875" style="9" hidden="1" customWidth="1"/>
    <col min="15" max="15" width="12.140625" style="155" hidden="1" customWidth="1"/>
    <col min="16" max="16" width="13.28125" style="155" hidden="1" customWidth="1"/>
    <col min="17" max="17" width="18.57421875" style="290" hidden="1" customWidth="1"/>
    <col min="18" max="18" width="14.140625" style="88" hidden="1" customWidth="1"/>
    <col min="19" max="19" width="10.7109375" style="88" hidden="1" customWidth="1"/>
    <col min="20" max="20" width="10.57421875" style="88" hidden="1" customWidth="1"/>
    <col min="21" max="21" width="11.7109375" style="88" hidden="1" customWidth="1"/>
    <col min="22" max="25" width="14.140625" style="88" hidden="1" customWidth="1"/>
    <col min="26" max="26" width="11.28125" style="88" hidden="1" customWidth="1"/>
    <col min="27" max="27" width="9.28125" style="88" hidden="1" customWidth="1"/>
    <col min="28" max="28" width="10.57421875" style="291" hidden="1" customWidth="1"/>
    <col min="29" max="29" width="11.57421875" style="291" hidden="1" customWidth="1"/>
    <col min="30" max="30" width="22.421875" style="11" customWidth="1"/>
    <col min="31" max="31" width="12.140625" style="9" customWidth="1"/>
    <col min="32" max="32" width="10.57421875" style="9" customWidth="1"/>
    <col min="33" max="33" width="10.421875" style="47" customWidth="1"/>
    <col min="34" max="34" width="11.00390625" style="47" customWidth="1"/>
    <col min="35" max="38" width="14.140625" style="88" hidden="1" customWidth="1"/>
    <col min="39" max="39" width="10.57421875" style="9" customWidth="1"/>
    <col min="40" max="40" width="11.00390625" style="9" customWidth="1"/>
    <col min="41" max="41" width="10.7109375" style="155" customWidth="1"/>
    <col min="42" max="42" width="12.8515625" style="155" customWidth="1"/>
    <col min="43" max="43" width="22.57421875" style="9" customWidth="1"/>
    <col min="44" max="45" width="17.8515625" style="9" hidden="1" customWidth="1"/>
    <col min="46" max="46" width="18.28125" style="19" hidden="1" customWidth="1"/>
    <col min="47" max="50" width="0" style="19" hidden="1" customWidth="1"/>
    <col min="51" max="51" width="18.57421875" style="19" hidden="1" customWidth="1"/>
    <col min="52" max="54" width="0" style="19" hidden="1" customWidth="1"/>
    <col min="55" max="16384" width="9.140625" style="9" customWidth="1"/>
  </cols>
  <sheetData>
    <row r="1" spans="1:54" s="35" customFormat="1" ht="26.25" customHeight="1">
      <c r="A1" s="326" t="s">
        <v>256</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61"/>
      <c r="AS1" s="79"/>
      <c r="AT1" s="150"/>
      <c r="AU1" s="34"/>
      <c r="AV1" s="34"/>
      <c r="AW1" s="34"/>
      <c r="AX1" s="34"/>
      <c r="AY1" s="34"/>
      <c r="AZ1" s="34"/>
      <c r="BA1" s="34"/>
      <c r="BB1" s="34"/>
    </row>
    <row r="2" spans="1:54" s="37" customFormat="1" ht="25.5" customHeight="1" hidden="1">
      <c r="A2" s="323" t="s">
        <v>235</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262"/>
      <c r="AS2" s="262"/>
      <c r="AT2" s="36"/>
      <c r="AU2" s="36"/>
      <c r="AV2" s="36"/>
      <c r="AW2" s="36"/>
      <c r="AX2" s="36"/>
      <c r="AY2" s="36"/>
      <c r="AZ2" s="36"/>
      <c r="BA2" s="36"/>
      <c r="BB2" s="36"/>
    </row>
    <row r="3" spans="1:54" s="37" customFormat="1" ht="25.5" customHeight="1">
      <c r="A3" s="323" t="s">
        <v>246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264"/>
      <c r="AS3" s="264"/>
      <c r="AT3" s="36"/>
      <c r="AU3" s="36"/>
      <c r="AV3" s="36"/>
      <c r="AW3" s="36"/>
      <c r="AX3" s="36"/>
      <c r="AY3" s="36"/>
      <c r="AZ3" s="36"/>
      <c r="BA3" s="36"/>
      <c r="BB3" s="36"/>
    </row>
    <row r="4" spans="1:54" s="37" customFormat="1" ht="25.5" customHeight="1" hidden="1">
      <c r="A4" s="323" t="str">
        <f>'B.01_TH'!A4</f>
        <v>(Kèm theo Tờ trình số      /TTr-PTCKH ngày        /       /2019 của Phòng Tài chính - Kế hoạch huyện)</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294"/>
      <c r="AS4" s="294"/>
      <c r="AT4" s="36"/>
      <c r="AU4" s="36"/>
      <c r="AV4" s="36"/>
      <c r="AW4" s="36"/>
      <c r="AX4" s="36"/>
      <c r="AY4" s="36"/>
      <c r="AZ4" s="36"/>
      <c r="BA4" s="36"/>
      <c r="BB4" s="36"/>
    </row>
    <row r="5" spans="1:54" s="37" customFormat="1" ht="25.5" customHeight="1" hidden="1">
      <c r="A5" s="323" t="str">
        <f>'B.01_TH'!A5</f>
        <v>(Kèm theo Quyết định số          /QĐ-UBND ngày      /       /2019 của Ủy ban nhân dân huyện Ia H'D'rai)</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294"/>
      <c r="AS5" s="294"/>
      <c r="AT5" s="36"/>
      <c r="AU5" s="36"/>
      <c r="AV5" s="36"/>
      <c r="AW5" s="36"/>
      <c r="AX5" s="36"/>
      <c r="AY5" s="36"/>
      <c r="AZ5" s="36"/>
      <c r="BA5" s="36"/>
      <c r="BB5" s="36"/>
    </row>
    <row r="6" spans="1:54" ht="16.5">
      <c r="A6" s="64"/>
      <c r="B6" s="72"/>
      <c r="C6" s="64"/>
      <c r="D6" s="64"/>
      <c r="E6" s="84"/>
      <c r="F6" s="84"/>
      <c r="G6" s="327" t="s">
        <v>33</v>
      </c>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60"/>
      <c r="AS6" s="78"/>
      <c r="AT6" s="16"/>
      <c r="AU6" s="16"/>
      <c r="AV6" s="16"/>
      <c r="AW6" s="16"/>
      <c r="AX6" s="16"/>
      <c r="AY6" s="16"/>
      <c r="AZ6" s="16"/>
      <c r="BA6" s="16"/>
      <c r="BB6" s="16"/>
    </row>
    <row r="7" spans="1:54" s="15" customFormat="1" ht="41.25" customHeight="1">
      <c r="A7" s="319" t="s">
        <v>1</v>
      </c>
      <c r="B7" s="319" t="s">
        <v>34</v>
      </c>
      <c r="C7" s="319" t="s">
        <v>284</v>
      </c>
      <c r="D7" s="308" t="s">
        <v>238</v>
      </c>
      <c r="E7" s="308"/>
      <c r="F7" s="308"/>
      <c r="G7" s="308"/>
      <c r="H7" s="308"/>
      <c r="I7" s="308"/>
      <c r="J7" s="308"/>
      <c r="K7" s="308"/>
      <c r="L7" s="308"/>
      <c r="M7" s="308"/>
      <c r="N7" s="308"/>
      <c r="O7" s="308"/>
      <c r="P7" s="308"/>
      <c r="Q7" s="325" t="s">
        <v>241</v>
      </c>
      <c r="R7" s="325"/>
      <c r="S7" s="325"/>
      <c r="T7" s="325"/>
      <c r="U7" s="325"/>
      <c r="V7" s="325"/>
      <c r="W7" s="325"/>
      <c r="X7" s="325"/>
      <c r="Y7" s="325"/>
      <c r="Z7" s="325"/>
      <c r="AA7" s="325"/>
      <c r="AB7" s="325"/>
      <c r="AC7" s="325"/>
      <c r="AD7" s="308" t="s">
        <v>255</v>
      </c>
      <c r="AE7" s="308"/>
      <c r="AF7" s="308"/>
      <c r="AG7" s="308"/>
      <c r="AH7" s="308"/>
      <c r="AI7" s="308"/>
      <c r="AJ7" s="308"/>
      <c r="AK7" s="308"/>
      <c r="AL7" s="308"/>
      <c r="AM7" s="308"/>
      <c r="AN7" s="308"/>
      <c r="AO7" s="308"/>
      <c r="AP7" s="308"/>
      <c r="AQ7" s="319" t="s">
        <v>3</v>
      </c>
      <c r="AR7" s="263"/>
      <c r="AS7" s="263"/>
      <c r="AT7" s="18"/>
      <c r="AU7" s="18"/>
      <c r="AV7" s="18"/>
      <c r="AW7" s="18"/>
      <c r="AX7" s="18"/>
      <c r="AY7" s="18"/>
      <c r="AZ7" s="18"/>
      <c r="BA7" s="18"/>
      <c r="BB7" s="18"/>
    </row>
    <row r="8" spans="1:54" s="13" customFormat="1" ht="95.25" customHeight="1">
      <c r="A8" s="319"/>
      <c r="B8" s="319"/>
      <c r="C8" s="319"/>
      <c r="D8" s="328" t="s">
        <v>11</v>
      </c>
      <c r="E8" s="319"/>
      <c r="F8" s="319"/>
      <c r="G8" s="319" t="s">
        <v>36</v>
      </c>
      <c r="H8" s="319"/>
      <c r="I8" s="319" t="s">
        <v>37</v>
      </c>
      <c r="J8" s="319"/>
      <c r="K8" s="319" t="s">
        <v>38</v>
      </c>
      <c r="L8" s="319"/>
      <c r="M8" s="319" t="s">
        <v>88</v>
      </c>
      <c r="N8" s="319"/>
      <c r="O8" s="324" t="s">
        <v>236</v>
      </c>
      <c r="P8" s="324"/>
      <c r="Q8" s="322" t="s">
        <v>11</v>
      </c>
      <c r="R8" s="322"/>
      <c r="S8" s="322"/>
      <c r="T8" s="322" t="s">
        <v>36</v>
      </c>
      <c r="U8" s="322"/>
      <c r="V8" s="322" t="s">
        <v>37</v>
      </c>
      <c r="W8" s="322"/>
      <c r="X8" s="322" t="s">
        <v>38</v>
      </c>
      <c r="Y8" s="322"/>
      <c r="Z8" s="322" t="s">
        <v>88</v>
      </c>
      <c r="AA8" s="322"/>
      <c r="AB8" s="321" t="s">
        <v>236</v>
      </c>
      <c r="AC8" s="321"/>
      <c r="AD8" s="319" t="s">
        <v>11</v>
      </c>
      <c r="AE8" s="319"/>
      <c r="AF8" s="319"/>
      <c r="AG8" s="319" t="s">
        <v>36</v>
      </c>
      <c r="AH8" s="319"/>
      <c r="AI8" s="319" t="s">
        <v>37</v>
      </c>
      <c r="AJ8" s="319"/>
      <c r="AK8" s="319" t="s">
        <v>38</v>
      </c>
      <c r="AL8" s="319"/>
      <c r="AM8" s="319" t="s">
        <v>260</v>
      </c>
      <c r="AN8" s="319"/>
      <c r="AO8" s="324" t="s">
        <v>261</v>
      </c>
      <c r="AP8" s="324"/>
      <c r="AQ8" s="319"/>
      <c r="AR8" s="331" t="s">
        <v>3</v>
      </c>
      <c r="AS8" s="329" t="s">
        <v>3</v>
      </c>
      <c r="AT8" s="330"/>
      <c r="AU8" s="17"/>
      <c r="AV8" s="17"/>
      <c r="AW8" s="17"/>
      <c r="AX8" s="17"/>
      <c r="AY8" s="213" t="e">
        <f>#REF!+AC17+AC18+#REF!+#REF!+AC28+#REF!+#REF!+#REF!+#REF!</f>
        <v>#REF!</v>
      </c>
      <c r="AZ8" s="17"/>
      <c r="BA8" s="17"/>
      <c r="BB8" s="17"/>
    </row>
    <row r="9" spans="1:54" s="13" customFormat="1" ht="41.25" customHeight="1">
      <c r="A9" s="319"/>
      <c r="B9" s="319"/>
      <c r="C9" s="319"/>
      <c r="D9" s="328" t="s">
        <v>144</v>
      </c>
      <c r="E9" s="319" t="s">
        <v>12</v>
      </c>
      <c r="F9" s="319" t="s">
        <v>81</v>
      </c>
      <c r="G9" s="319" t="s">
        <v>189</v>
      </c>
      <c r="H9" s="319" t="s">
        <v>81</v>
      </c>
      <c r="I9" s="319" t="s">
        <v>189</v>
      </c>
      <c r="J9" s="319" t="s">
        <v>81</v>
      </c>
      <c r="K9" s="319" t="s">
        <v>189</v>
      </c>
      <c r="L9" s="319" t="s">
        <v>81</v>
      </c>
      <c r="M9" s="319" t="s">
        <v>189</v>
      </c>
      <c r="N9" s="319" t="s">
        <v>81</v>
      </c>
      <c r="O9" s="324" t="s">
        <v>189</v>
      </c>
      <c r="P9" s="324" t="s">
        <v>81</v>
      </c>
      <c r="Q9" s="322" t="s">
        <v>144</v>
      </c>
      <c r="R9" s="322" t="s">
        <v>12</v>
      </c>
      <c r="S9" s="322" t="s">
        <v>81</v>
      </c>
      <c r="T9" s="322" t="s">
        <v>189</v>
      </c>
      <c r="U9" s="322" t="s">
        <v>81</v>
      </c>
      <c r="V9" s="322" t="s">
        <v>189</v>
      </c>
      <c r="W9" s="322" t="s">
        <v>81</v>
      </c>
      <c r="X9" s="322" t="s">
        <v>189</v>
      </c>
      <c r="Y9" s="322" t="s">
        <v>81</v>
      </c>
      <c r="Z9" s="322" t="s">
        <v>189</v>
      </c>
      <c r="AA9" s="322" t="s">
        <v>81</v>
      </c>
      <c r="AB9" s="321" t="s">
        <v>189</v>
      </c>
      <c r="AC9" s="321" t="s">
        <v>81</v>
      </c>
      <c r="AD9" s="319" t="s">
        <v>144</v>
      </c>
      <c r="AE9" s="319" t="s">
        <v>12</v>
      </c>
      <c r="AF9" s="319" t="s">
        <v>81</v>
      </c>
      <c r="AG9" s="319" t="s">
        <v>189</v>
      </c>
      <c r="AH9" s="319" t="s">
        <v>81</v>
      </c>
      <c r="AI9" s="319" t="s">
        <v>189</v>
      </c>
      <c r="AJ9" s="319" t="s">
        <v>81</v>
      </c>
      <c r="AK9" s="319" t="s">
        <v>189</v>
      </c>
      <c r="AL9" s="319" t="s">
        <v>81</v>
      </c>
      <c r="AM9" s="319" t="s">
        <v>189</v>
      </c>
      <c r="AN9" s="319" t="s">
        <v>81</v>
      </c>
      <c r="AO9" s="324" t="s">
        <v>189</v>
      </c>
      <c r="AP9" s="324" t="s">
        <v>81</v>
      </c>
      <c r="AQ9" s="319"/>
      <c r="AR9" s="331"/>
      <c r="AS9" s="329"/>
      <c r="AT9" s="330"/>
      <c r="AU9" s="17"/>
      <c r="AV9" s="59"/>
      <c r="AW9" s="17"/>
      <c r="AX9" s="17"/>
      <c r="AY9" s="213" t="e">
        <f>#REF!+AC19+#REF!+#REF!</f>
        <v>#REF!</v>
      </c>
      <c r="AZ9" s="17"/>
      <c r="BA9" s="17"/>
      <c r="BB9" s="17"/>
    </row>
    <row r="10" spans="1:54" s="13" customFormat="1" ht="61.5" customHeight="1">
      <c r="A10" s="319"/>
      <c r="B10" s="319"/>
      <c r="C10" s="319"/>
      <c r="D10" s="328"/>
      <c r="E10" s="319"/>
      <c r="F10" s="319"/>
      <c r="G10" s="319"/>
      <c r="H10" s="319"/>
      <c r="I10" s="319"/>
      <c r="J10" s="319"/>
      <c r="K10" s="319"/>
      <c r="L10" s="319"/>
      <c r="M10" s="319"/>
      <c r="N10" s="319"/>
      <c r="O10" s="324"/>
      <c r="P10" s="324"/>
      <c r="Q10" s="322"/>
      <c r="R10" s="322"/>
      <c r="S10" s="322"/>
      <c r="T10" s="322"/>
      <c r="U10" s="322"/>
      <c r="V10" s="322"/>
      <c r="W10" s="322"/>
      <c r="X10" s="322"/>
      <c r="Y10" s="322"/>
      <c r="Z10" s="322"/>
      <c r="AA10" s="322"/>
      <c r="AB10" s="321"/>
      <c r="AC10" s="321"/>
      <c r="AD10" s="319"/>
      <c r="AE10" s="319"/>
      <c r="AF10" s="319"/>
      <c r="AG10" s="319"/>
      <c r="AH10" s="319"/>
      <c r="AI10" s="319"/>
      <c r="AJ10" s="319"/>
      <c r="AK10" s="319"/>
      <c r="AL10" s="319"/>
      <c r="AM10" s="319"/>
      <c r="AN10" s="319"/>
      <c r="AO10" s="324"/>
      <c r="AP10" s="324"/>
      <c r="AQ10" s="319"/>
      <c r="AR10" s="331"/>
      <c r="AS10" s="329"/>
      <c r="AT10" s="330"/>
      <c r="AU10" s="17"/>
      <c r="AV10" s="17"/>
      <c r="AW10" s="17"/>
      <c r="AX10" s="17"/>
      <c r="AY10" s="17"/>
      <c r="AZ10" s="17"/>
      <c r="BA10" s="17"/>
      <c r="BB10" s="17"/>
    </row>
    <row r="11" spans="1:54" s="15" customFormat="1" ht="33" customHeight="1">
      <c r="A11" s="265"/>
      <c r="B11" s="281" t="s">
        <v>247</v>
      </c>
      <c r="C11" s="265"/>
      <c r="D11" s="265"/>
      <c r="E11" s="183" t="e">
        <f aca="true" t="shared" si="0" ref="E11:P11">E12+E36</f>
        <v>#REF!</v>
      </c>
      <c r="F11" s="183" t="e">
        <f t="shared" si="0"/>
        <v>#REF!</v>
      </c>
      <c r="G11" s="183" t="e">
        <f t="shared" si="0"/>
        <v>#REF!</v>
      </c>
      <c r="H11" s="183" t="e">
        <f t="shared" si="0"/>
        <v>#REF!</v>
      </c>
      <c r="I11" s="183" t="e">
        <f t="shared" si="0"/>
        <v>#REF!</v>
      </c>
      <c r="J11" s="183" t="e">
        <f t="shared" si="0"/>
        <v>#REF!</v>
      </c>
      <c r="K11" s="183" t="e">
        <f t="shared" si="0"/>
        <v>#REF!</v>
      </c>
      <c r="L11" s="183" t="e">
        <f t="shared" si="0"/>
        <v>#REF!</v>
      </c>
      <c r="M11" s="183" t="e">
        <f t="shared" si="0"/>
        <v>#REF!</v>
      </c>
      <c r="N11" s="183" t="e">
        <f t="shared" si="0"/>
        <v>#REF!</v>
      </c>
      <c r="O11" s="183" t="e">
        <f t="shared" si="0"/>
        <v>#REF!</v>
      </c>
      <c r="P11" s="183" t="e">
        <f t="shared" si="0"/>
        <v>#REF!</v>
      </c>
      <c r="Q11" s="282"/>
      <c r="R11" s="283" t="e">
        <f>R12+R36+#REF!+#REF!+#REF!+#REF!+#REF!</f>
        <v>#REF!</v>
      </c>
      <c r="S11" s="283" t="e">
        <f>S12+S36+#REF!+#REF!+#REF!+#REF!+#REF!</f>
        <v>#REF!</v>
      </c>
      <c r="T11" s="283" t="e">
        <f>T12+T36+#REF!+#REF!+#REF!+#REF!+#REF!</f>
        <v>#REF!</v>
      </c>
      <c r="U11" s="283" t="e">
        <f>U12+U36+#REF!+#REF!+#REF!+#REF!+#REF!</f>
        <v>#REF!</v>
      </c>
      <c r="V11" s="283" t="e">
        <f>V12+V36+#REF!+#REF!+#REF!+#REF!+#REF!</f>
        <v>#REF!</v>
      </c>
      <c r="W11" s="283" t="e">
        <f>W12+W36+#REF!+#REF!+#REF!+#REF!+#REF!</f>
        <v>#REF!</v>
      </c>
      <c r="X11" s="283" t="e">
        <f>X12+X36+#REF!+#REF!+#REF!+#REF!+#REF!</f>
        <v>#REF!</v>
      </c>
      <c r="Y11" s="283" t="e">
        <f>Y12+Y36+#REF!+#REF!+#REF!+#REF!+#REF!</f>
        <v>#REF!</v>
      </c>
      <c r="Z11" s="283" t="e">
        <f>Z12+Z36+#REF!+#REF!+#REF!+#REF!+#REF!</f>
        <v>#REF!</v>
      </c>
      <c r="AA11" s="283" t="e">
        <f>AA12+AA36+#REF!+#REF!+#REF!+#REF!+#REF!</f>
        <v>#REF!</v>
      </c>
      <c r="AB11" s="283" t="e">
        <f>AB12+AB36+#REF!+#REF!+#REF!+#REF!+#REF!</f>
        <v>#REF!</v>
      </c>
      <c r="AC11" s="283" t="e">
        <f>AC12+AC36+#REF!+#REF!+#REF!+#REF!+#REF!</f>
        <v>#REF!</v>
      </c>
      <c r="AD11" s="183"/>
      <c r="AE11" s="183">
        <f aca="true" t="shared" si="1" ref="AE11:AP11">AE12+AE36</f>
        <v>385165.85335800005</v>
      </c>
      <c r="AF11" s="183">
        <f t="shared" si="1"/>
        <v>385165.85335800005</v>
      </c>
      <c r="AG11" s="183">
        <f t="shared" si="1"/>
        <v>255365.29</v>
      </c>
      <c r="AH11" s="183">
        <f t="shared" si="1"/>
        <v>255365.29</v>
      </c>
      <c r="AI11" s="183">
        <f t="shared" si="1"/>
        <v>0</v>
      </c>
      <c r="AJ11" s="183">
        <f t="shared" si="1"/>
        <v>0</v>
      </c>
      <c r="AK11" s="183">
        <f t="shared" si="1"/>
        <v>1950</v>
      </c>
      <c r="AL11" s="183">
        <f t="shared" si="1"/>
        <v>1950</v>
      </c>
      <c r="AM11" s="183">
        <f t="shared" si="1"/>
        <v>12485</v>
      </c>
      <c r="AN11" s="183">
        <f t="shared" si="1"/>
        <v>12485</v>
      </c>
      <c r="AO11" s="183">
        <f t="shared" si="1"/>
        <v>44217</v>
      </c>
      <c r="AP11" s="183">
        <f t="shared" si="1"/>
        <v>44217</v>
      </c>
      <c r="AQ11" s="184"/>
      <c r="AR11" s="39"/>
      <c r="AS11" s="39"/>
      <c r="AT11" s="18"/>
      <c r="AU11" s="18"/>
      <c r="AV11" s="18"/>
      <c r="AW11" s="18"/>
      <c r="AX11" s="18"/>
      <c r="AY11" s="18"/>
      <c r="AZ11" s="18"/>
      <c r="BA11" s="18"/>
      <c r="BB11" s="18"/>
    </row>
    <row r="12" spans="1:54" s="97" customFormat="1" ht="42.75" customHeight="1">
      <c r="A12" s="265" t="s">
        <v>4</v>
      </c>
      <c r="B12" s="185" t="s">
        <v>39</v>
      </c>
      <c r="C12" s="265"/>
      <c r="D12" s="265"/>
      <c r="E12" s="183" t="e">
        <f>E13+E24+#REF!+#REF!+E31</f>
        <v>#REF!</v>
      </c>
      <c r="F12" s="183" t="e">
        <f>F13+F24+#REF!+#REF!+F31</f>
        <v>#REF!</v>
      </c>
      <c r="G12" s="183" t="e">
        <f>G13+G24+#REF!+#REF!+G31</f>
        <v>#REF!</v>
      </c>
      <c r="H12" s="183" t="e">
        <f>H13+H24+#REF!+#REF!+H31</f>
        <v>#REF!</v>
      </c>
      <c r="I12" s="183" t="e">
        <f>I13+I24+#REF!+#REF!+I31</f>
        <v>#REF!</v>
      </c>
      <c r="J12" s="183" t="e">
        <f>J13+J24+#REF!+#REF!+J31</f>
        <v>#REF!</v>
      </c>
      <c r="K12" s="183" t="e">
        <f>K13+K24+#REF!+#REF!+K31</f>
        <v>#REF!</v>
      </c>
      <c r="L12" s="183" t="e">
        <f>L13+L24+#REF!+#REF!+L31</f>
        <v>#REF!</v>
      </c>
      <c r="M12" s="183" t="e">
        <f>M13+M24+#REF!+#REF!+M31</f>
        <v>#REF!</v>
      </c>
      <c r="N12" s="183" t="e">
        <f>N13+N24+#REF!+#REF!+N31</f>
        <v>#REF!</v>
      </c>
      <c r="O12" s="183" t="e">
        <f>O13+O24+#REF!+#REF!+O31</f>
        <v>#REF!</v>
      </c>
      <c r="P12" s="183" t="e">
        <f>P13+P24+#REF!+#REF!+P31</f>
        <v>#REF!</v>
      </c>
      <c r="Q12" s="282"/>
      <c r="R12" s="283" t="e">
        <f>R13+R24+#REF!+#REF!+R31</f>
        <v>#REF!</v>
      </c>
      <c r="S12" s="283" t="e">
        <f>S13+S24+#REF!+#REF!+S31</f>
        <v>#REF!</v>
      </c>
      <c r="T12" s="283" t="e">
        <f>T13+T24+#REF!+#REF!+T31</f>
        <v>#REF!</v>
      </c>
      <c r="U12" s="283" t="e">
        <f>U13+U24+#REF!+#REF!+U31</f>
        <v>#REF!</v>
      </c>
      <c r="V12" s="283" t="e">
        <f>V13+V24+#REF!+#REF!+V31</f>
        <v>#REF!</v>
      </c>
      <c r="W12" s="283" t="e">
        <f>W13+W24+#REF!+#REF!+W31</f>
        <v>#REF!</v>
      </c>
      <c r="X12" s="283" t="e">
        <f>X13+X24+#REF!+#REF!+X31</f>
        <v>#REF!</v>
      </c>
      <c r="Y12" s="283" t="e">
        <f>Y13+Y24+#REF!+#REF!+Y31</f>
        <v>#REF!</v>
      </c>
      <c r="Z12" s="283" t="e">
        <f>Z13+Z24+#REF!+#REF!+Z31</f>
        <v>#REF!</v>
      </c>
      <c r="AA12" s="283" t="e">
        <f>AA13+AA24+#REF!+#REF!+AA31</f>
        <v>#REF!</v>
      </c>
      <c r="AB12" s="283" t="e">
        <f>AB13+AB24+#REF!+#REF!+AB31</f>
        <v>#REF!</v>
      </c>
      <c r="AC12" s="283" t="e">
        <f>AC13+AC24+#REF!+#REF!+AC31</f>
        <v>#REF!</v>
      </c>
      <c r="AD12" s="274"/>
      <c r="AE12" s="183">
        <f aca="true" t="shared" si="2" ref="AE12:AP12">AE13+AE24+AE31</f>
        <v>61363.492358</v>
      </c>
      <c r="AF12" s="183">
        <f t="shared" si="2"/>
        <v>61363.492358</v>
      </c>
      <c r="AG12" s="183">
        <f t="shared" si="2"/>
        <v>30074.619</v>
      </c>
      <c r="AH12" s="183">
        <f t="shared" si="2"/>
        <v>30074.619</v>
      </c>
      <c r="AI12" s="183">
        <f t="shared" si="2"/>
        <v>0</v>
      </c>
      <c r="AJ12" s="183">
        <f t="shared" si="2"/>
        <v>0</v>
      </c>
      <c r="AK12" s="183">
        <f t="shared" si="2"/>
        <v>350</v>
      </c>
      <c r="AL12" s="183">
        <f t="shared" si="2"/>
        <v>350</v>
      </c>
      <c r="AM12" s="183">
        <f t="shared" si="2"/>
        <v>12485</v>
      </c>
      <c r="AN12" s="183">
        <f t="shared" si="2"/>
        <v>12485</v>
      </c>
      <c r="AO12" s="183">
        <f t="shared" si="2"/>
        <v>13926</v>
      </c>
      <c r="AP12" s="183">
        <f t="shared" si="2"/>
        <v>13926</v>
      </c>
      <c r="AQ12" s="184"/>
      <c r="AR12" s="27"/>
      <c r="AS12" s="27"/>
      <c r="AT12" s="96"/>
      <c r="AU12" s="96"/>
      <c r="AV12" s="96"/>
      <c r="AW12" s="96"/>
      <c r="AX12" s="96"/>
      <c r="AY12" s="96"/>
      <c r="AZ12" s="96"/>
      <c r="BA12" s="96"/>
      <c r="BB12" s="96"/>
    </row>
    <row r="13" spans="1:54" s="97" customFormat="1" ht="47.25" customHeight="1">
      <c r="A13" s="265">
        <v>1</v>
      </c>
      <c r="B13" s="185" t="s">
        <v>19</v>
      </c>
      <c r="C13" s="265"/>
      <c r="D13" s="265"/>
      <c r="E13" s="183" t="e">
        <f aca="true" t="shared" si="3" ref="E13:P13">E14+E15</f>
        <v>#REF!</v>
      </c>
      <c r="F13" s="183" t="e">
        <f t="shared" si="3"/>
        <v>#REF!</v>
      </c>
      <c r="G13" s="183" t="e">
        <f t="shared" si="3"/>
        <v>#REF!</v>
      </c>
      <c r="H13" s="183" t="e">
        <f t="shared" si="3"/>
        <v>#REF!</v>
      </c>
      <c r="I13" s="183" t="e">
        <f t="shared" si="3"/>
        <v>#REF!</v>
      </c>
      <c r="J13" s="183" t="e">
        <f t="shared" si="3"/>
        <v>#REF!</v>
      </c>
      <c r="K13" s="183" t="e">
        <f t="shared" si="3"/>
        <v>#REF!</v>
      </c>
      <c r="L13" s="183" t="e">
        <f t="shared" si="3"/>
        <v>#REF!</v>
      </c>
      <c r="M13" s="183" t="e">
        <f t="shared" si="3"/>
        <v>#REF!</v>
      </c>
      <c r="N13" s="183" t="e">
        <f t="shared" si="3"/>
        <v>#REF!</v>
      </c>
      <c r="O13" s="183" t="e">
        <f t="shared" si="3"/>
        <v>#REF!</v>
      </c>
      <c r="P13" s="183" t="e">
        <f t="shared" si="3"/>
        <v>#REF!</v>
      </c>
      <c r="Q13" s="282"/>
      <c r="R13" s="283" t="e">
        <f aca="true" t="shared" si="4" ref="R13:AC13">R14+R15</f>
        <v>#REF!</v>
      </c>
      <c r="S13" s="283" t="e">
        <f t="shared" si="4"/>
        <v>#REF!</v>
      </c>
      <c r="T13" s="283" t="e">
        <f t="shared" si="4"/>
        <v>#REF!</v>
      </c>
      <c r="U13" s="283" t="e">
        <f t="shared" si="4"/>
        <v>#REF!</v>
      </c>
      <c r="V13" s="283" t="e">
        <f t="shared" si="4"/>
        <v>#REF!</v>
      </c>
      <c r="W13" s="283" t="e">
        <f t="shared" si="4"/>
        <v>#REF!</v>
      </c>
      <c r="X13" s="283" t="e">
        <f t="shared" si="4"/>
        <v>#REF!</v>
      </c>
      <c r="Y13" s="283" t="e">
        <f t="shared" si="4"/>
        <v>#REF!</v>
      </c>
      <c r="Z13" s="283" t="e">
        <f t="shared" si="4"/>
        <v>#REF!</v>
      </c>
      <c r="AA13" s="283" t="e">
        <f t="shared" si="4"/>
        <v>#REF!</v>
      </c>
      <c r="AB13" s="283" t="e">
        <f t="shared" si="4"/>
        <v>#REF!</v>
      </c>
      <c r="AC13" s="283" t="e">
        <f t="shared" si="4"/>
        <v>#REF!</v>
      </c>
      <c r="AD13" s="274"/>
      <c r="AE13" s="183">
        <f aca="true" t="shared" si="5" ref="AE13:AP13">AE14+AE15</f>
        <v>17850.452358</v>
      </c>
      <c r="AF13" s="183">
        <f t="shared" si="5"/>
        <v>17850.452358</v>
      </c>
      <c r="AG13" s="183">
        <f t="shared" si="5"/>
        <v>11413.618999999999</v>
      </c>
      <c r="AH13" s="183">
        <f t="shared" si="5"/>
        <v>11413.618999999999</v>
      </c>
      <c r="AI13" s="183">
        <f t="shared" si="5"/>
        <v>0</v>
      </c>
      <c r="AJ13" s="183">
        <f t="shared" si="5"/>
        <v>0</v>
      </c>
      <c r="AK13" s="183">
        <f t="shared" si="5"/>
        <v>350</v>
      </c>
      <c r="AL13" s="183">
        <f t="shared" si="5"/>
        <v>350</v>
      </c>
      <c r="AM13" s="183">
        <f t="shared" si="5"/>
        <v>1824</v>
      </c>
      <c r="AN13" s="183">
        <f t="shared" si="5"/>
        <v>1824</v>
      </c>
      <c r="AO13" s="183">
        <f t="shared" si="5"/>
        <v>5926</v>
      </c>
      <c r="AP13" s="183">
        <f t="shared" si="5"/>
        <v>5926</v>
      </c>
      <c r="AQ13" s="184"/>
      <c r="AR13" s="27"/>
      <c r="AS13" s="27"/>
      <c r="AT13" s="91" t="s">
        <v>157</v>
      </c>
      <c r="AU13" s="96"/>
      <c r="AV13" s="96"/>
      <c r="AW13" s="96"/>
      <c r="AX13" s="96"/>
      <c r="AY13" s="96"/>
      <c r="AZ13" s="96"/>
      <c r="BA13" s="96"/>
      <c r="BB13" s="96"/>
    </row>
    <row r="14" spans="1:54" s="54" customFormat="1" ht="32.25" customHeight="1">
      <c r="A14" s="265" t="s">
        <v>31</v>
      </c>
      <c r="B14" s="185" t="s">
        <v>40</v>
      </c>
      <c r="C14" s="265"/>
      <c r="D14" s="265"/>
      <c r="E14" s="183" t="e">
        <f>#REF!</f>
        <v>#REF!</v>
      </c>
      <c r="F14" s="183" t="e">
        <f>#REF!</f>
        <v>#REF!</v>
      </c>
      <c r="G14" s="183" t="e">
        <f>#REF!</f>
        <v>#REF!</v>
      </c>
      <c r="H14" s="183" t="e">
        <f>#REF!</f>
        <v>#REF!</v>
      </c>
      <c r="I14" s="183" t="e">
        <f>#REF!</f>
        <v>#REF!</v>
      </c>
      <c r="J14" s="183" t="e">
        <f>#REF!</f>
        <v>#REF!</v>
      </c>
      <c r="K14" s="183" t="e">
        <f>#REF!</f>
        <v>#REF!</v>
      </c>
      <c r="L14" s="183" t="e">
        <f>#REF!</f>
        <v>#REF!</v>
      </c>
      <c r="M14" s="183" t="e">
        <f>#REF!</f>
        <v>#REF!</v>
      </c>
      <c r="N14" s="183" t="e">
        <f>#REF!</f>
        <v>#REF!</v>
      </c>
      <c r="O14" s="183" t="e">
        <f>#REF!</f>
        <v>#REF!</v>
      </c>
      <c r="P14" s="183" t="e">
        <f>#REF!</f>
        <v>#REF!</v>
      </c>
      <c r="Q14" s="282"/>
      <c r="R14" s="283" t="e">
        <f>#REF!</f>
        <v>#REF!</v>
      </c>
      <c r="S14" s="283" t="e">
        <f>#REF!</f>
        <v>#REF!</v>
      </c>
      <c r="T14" s="283" t="e">
        <f>#REF!</f>
        <v>#REF!</v>
      </c>
      <c r="U14" s="283" t="e">
        <f>#REF!</f>
        <v>#REF!</v>
      </c>
      <c r="V14" s="283" t="e">
        <f>#REF!</f>
        <v>#REF!</v>
      </c>
      <c r="W14" s="283" t="e">
        <f>#REF!</f>
        <v>#REF!</v>
      </c>
      <c r="X14" s="283" t="e">
        <f>#REF!</f>
        <v>#REF!</v>
      </c>
      <c r="Y14" s="283" t="e">
        <f>#REF!</f>
        <v>#REF!</v>
      </c>
      <c r="Z14" s="283" t="e">
        <f>#REF!</f>
        <v>#REF!</v>
      </c>
      <c r="AA14" s="283" t="e">
        <f>#REF!</f>
        <v>#REF!</v>
      </c>
      <c r="AB14" s="283" t="e">
        <f>#REF!</f>
        <v>#REF!</v>
      </c>
      <c r="AC14" s="283" t="e">
        <f>#REF!</f>
        <v>#REF!</v>
      </c>
      <c r="AD14" s="274"/>
      <c r="AE14" s="183">
        <v>0</v>
      </c>
      <c r="AF14" s="183">
        <v>0</v>
      </c>
      <c r="AG14" s="183">
        <v>0</v>
      </c>
      <c r="AH14" s="183">
        <v>0</v>
      </c>
      <c r="AI14" s="183">
        <v>0</v>
      </c>
      <c r="AJ14" s="183">
        <v>0</v>
      </c>
      <c r="AK14" s="183">
        <v>0</v>
      </c>
      <c r="AL14" s="183">
        <v>0</v>
      </c>
      <c r="AM14" s="183">
        <v>0</v>
      </c>
      <c r="AN14" s="183">
        <v>0</v>
      </c>
      <c r="AO14" s="183">
        <v>0</v>
      </c>
      <c r="AP14" s="183">
        <v>0</v>
      </c>
      <c r="AQ14" s="184"/>
      <c r="AR14" s="45"/>
      <c r="AS14" s="45"/>
      <c r="AT14" s="51"/>
      <c r="AU14" s="51"/>
      <c r="AV14" s="51"/>
      <c r="AW14" s="51"/>
      <c r="AX14" s="51"/>
      <c r="AY14" s="51"/>
      <c r="AZ14" s="51"/>
      <c r="BA14" s="51"/>
      <c r="BB14" s="51"/>
    </row>
    <row r="15" spans="1:54" s="54" customFormat="1" ht="32.25" customHeight="1">
      <c r="A15" s="265" t="s">
        <v>32</v>
      </c>
      <c r="B15" s="185" t="s">
        <v>43</v>
      </c>
      <c r="C15" s="265"/>
      <c r="D15" s="265"/>
      <c r="E15" s="183" t="e">
        <f>E16+#REF!+E22</f>
        <v>#REF!</v>
      </c>
      <c r="F15" s="183" t="e">
        <f>F16+#REF!+F22</f>
        <v>#REF!</v>
      </c>
      <c r="G15" s="183" t="e">
        <f>G16+#REF!+G22</f>
        <v>#REF!</v>
      </c>
      <c r="H15" s="183" t="e">
        <f>H16+#REF!+H22</f>
        <v>#REF!</v>
      </c>
      <c r="I15" s="183" t="e">
        <f>I16+#REF!+I22</f>
        <v>#REF!</v>
      </c>
      <c r="J15" s="183" t="e">
        <f>J16+#REF!+J22</f>
        <v>#REF!</v>
      </c>
      <c r="K15" s="183" t="e">
        <f>K16+#REF!+K22</f>
        <v>#REF!</v>
      </c>
      <c r="L15" s="183" t="e">
        <f>L16+#REF!+L22</f>
        <v>#REF!</v>
      </c>
      <c r="M15" s="183" t="e">
        <f>M16+#REF!+M22</f>
        <v>#REF!</v>
      </c>
      <c r="N15" s="183" t="e">
        <f>N16+#REF!+N22</f>
        <v>#REF!</v>
      </c>
      <c r="O15" s="183" t="e">
        <f>O16+#REF!+O22</f>
        <v>#REF!</v>
      </c>
      <c r="P15" s="183" t="e">
        <f>P16+#REF!+P22</f>
        <v>#REF!</v>
      </c>
      <c r="Q15" s="282"/>
      <c r="R15" s="283" t="e">
        <f>R16+#REF!+R22</f>
        <v>#REF!</v>
      </c>
      <c r="S15" s="283" t="e">
        <f>S16+#REF!+S22</f>
        <v>#REF!</v>
      </c>
      <c r="T15" s="283" t="e">
        <f>T16+#REF!+T22</f>
        <v>#REF!</v>
      </c>
      <c r="U15" s="283" t="e">
        <f>U16+#REF!+U22</f>
        <v>#REF!</v>
      </c>
      <c r="V15" s="283" t="e">
        <f>V16+#REF!+V22</f>
        <v>#REF!</v>
      </c>
      <c r="W15" s="283" t="e">
        <f>W16+#REF!+W22</f>
        <v>#REF!</v>
      </c>
      <c r="X15" s="283" t="e">
        <f>X16+#REF!+X22</f>
        <v>#REF!</v>
      </c>
      <c r="Y15" s="283" t="e">
        <f>Y16+#REF!+Y22</f>
        <v>#REF!</v>
      </c>
      <c r="Z15" s="283" t="e">
        <f>Z16+#REF!+Z22</f>
        <v>#REF!</v>
      </c>
      <c r="AA15" s="283" t="e">
        <f>AA16+#REF!+AA22</f>
        <v>#REF!</v>
      </c>
      <c r="AB15" s="283" t="e">
        <f>AB16+#REF!+AB22</f>
        <v>#REF!</v>
      </c>
      <c r="AC15" s="283" t="e">
        <f>AC16+#REF!+AC22</f>
        <v>#REF!</v>
      </c>
      <c r="AD15" s="274"/>
      <c r="AE15" s="183">
        <f aca="true" t="shared" si="6" ref="AE15:AP15">AE16+AE22</f>
        <v>17850.452358</v>
      </c>
      <c r="AF15" s="183">
        <f t="shared" si="6"/>
        <v>17850.452358</v>
      </c>
      <c r="AG15" s="183">
        <f t="shared" si="6"/>
        <v>11413.618999999999</v>
      </c>
      <c r="AH15" s="183">
        <f t="shared" si="6"/>
        <v>11413.618999999999</v>
      </c>
      <c r="AI15" s="183">
        <f t="shared" si="6"/>
        <v>0</v>
      </c>
      <c r="AJ15" s="183">
        <f t="shared" si="6"/>
        <v>0</v>
      </c>
      <c r="AK15" s="183">
        <f t="shared" si="6"/>
        <v>350</v>
      </c>
      <c r="AL15" s="183">
        <f t="shared" si="6"/>
        <v>350</v>
      </c>
      <c r="AM15" s="183">
        <f t="shared" si="6"/>
        <v>1824</v>
      </c>
      <c r="AN15" s="183">
        <f t="shared" si="6"/>
        <v>1824</v>
      </c>
      <c r="AO15" s="183">
        <f t="shared" si="6"/>
        <v>5926</v>
      </c>
      <c r="AP15" s="183">
        <f t="shared" si="6"/>
        <v>5926</v>
      </c>
      <c r="AQ15" s="184"/>
      <c r="AR15" s="45"/>
      <c r="AS15" s="45"/>
      <c r="AT15" s="51"/>
      <c r="AU15" s="51"/>
      <c r="AV15" s="51"/>
      <c r="AW15" s="51"/>
      <c r="AX15" s="51"/>
      <c r="AY15" s="51"/>
      <c r="AZ15" s="51"/>
      <c r="BA15" s="51"/>
      <c r="BB15" s="51"/>
    </row>
    <row r="16" spans="1:54" s="54" customFormat="1" ht="38.25" customHeight="1">
      <c r="A16" s="265" t="s">
        <v>18</v>
      </c>
      <c r="B16" s="185" t="s">
        <v>254</v>
      </c>
      <c r="C16" s="265"/>
      <c r="D16" s="265"/>
      <c r="E16" s="183">
        <f aca="true" t="shared" si="7" ref="E16:P16">SUM(E17:E19)</f>
        <v>10852</v>
      </c>
      <c r="F16" s="183">
        <f t="shared" si="7"/>
        <v>10852</v>
      </c>
      <c r="G16" s="183">
        <f t="shared" si="7"/>
        <v>5020</v>
      </c>
      <c r="H16" s="183">
        <f t="shared" si="7"/>
        <v>5020</v>
      </c>
      <c r="I16" s="183">
        <f t="shared" si="7"/>
        <v>0</v>
      </c>
      <c r="J16" s="183">
        <f t="shared" si="7"/>
        <v>0</v>
      </c>
      <c r="K16" s="183">
        <f t="shared" si="7"/>
        <v>250</v>
      </c>
      <c r="L16" s="183">
        <f t="shared" si="7"/>
        <v>250</v>
      </c>
      <c r="M16" s="183">
        <f t="shared" si="7"/>
        <v>1522</v>
      </c>
      <c r="N16" s="183">
        <f t="shared" si="7"/>
        <v>1522</v>
      </c>
      <c r="O16" s="183">
        <f t="shared" si="7"/>
        <v>3498</v>
      </c>
      <c r="P16" s="183">
        <f t="shared" si="7"/>
        <v>3498</v>
      </c>
      <c r="Q16" s="282"/>
      <c r="R16" s="283">
        <f aca="true" t="shared" si="8" ref="R16:AC16">SUM(R17:R19)</f>
        <v>10852</v>
      </c>
      <c r="S16" s="283">
        <f t="shared" si="8"/>
        <v>10852</v>
      </c>
      <c r="T16" s="283">
        <f t="shared" si="8"/>
        <v>5020</v>
      </c>
      <c r="U16" s="283">
        <f t="shared" si="8"/>
        <v>5020</v>
      </c>
      <c r="V16" s="283">
        <f t="shared" si="8"/>
        <v>0</v>
      </c>
      <c r="W16" s="283">
        <f t="shared" si="8"/>
        <v>0</v>
      </c>
      <c r="X16" s="283">
        <f t="shared" si="8"/>
        <v>250</v>
      </c>
      <c r="Y16" s="283">
        <f t="shared" si="8"/>
        <v>250</v>
      </c>
      <c r="Z16" s="283">
        <f t="shared" si="8"/>
        <v>1522</v>
      </c>
      <c r="AA16" s="283">
        <f t="shared" si="8"/>
        <v>1522</v>
      </c>
      <c r="AB16" s="283">
        <f t="shared" si="8"/>
        <v>3498</v>
      </c>
      <c r="AC16" s="283">
        <f t="shared" si="8"/>
        <v>3498</v>
      </c>
      <c r="AD16" s="274"/>
      <c r="AE16" s="183">
        <f aca="true" t="shared" si="9" ref="AE16:AN16">SUM(AE17:AE21)</f>
        <v>14237.835519</v>
      </c>
      <c r="AF16" s="183">
        <f t="shared" si="9"/>
        <v>14237.835519</v>
      </c>
      <c r="AG16" s="183">
        <f t="shared" si="9"/>
        <v>9664.618999999999</v>
      </c>
      <c r="AH16" s="183">
        <f t="shared" si="9"/>
        <v>9664.618999999999</v>
      </c>
      <c r="AI16" s="183">
        <f t="shared" si="9"/>
        <v>0</v>
      </c>
      <c r="AJ16" s="183">
        <f t="shared" si="9"/>
        <v>0</v>
      </c>
      <c r="AK16" s="183">
        <f t="shared" si="9"/>
        <v>350</v>
      </c>
      <c r="AL16" s="183">
        <f t="shared" si="9"/>
        <v>350</v>
      </c>
      <c r="AM16" s="183">
        <f t="shared" si="9"/>
        <v>1824</v>
      </c>
      <c r="AN16" s="183">
        <f t="shared" si="9"/>
        <v>1824</v>
      </c>
      <c r="AO16" s="183">
        <f>SUM(AO17:AO21)</f>
        <v>5871</v>
      </c>
      <c r="AP16" s="183">
        <f>SUM(AP17:AP21)</f>
        <v>5871</v>
      </c>
      <c r="AQ16" s="184"/>
      <c r="AR16" s="45"/>
      <c r="AS16" s="45"/>
      <c r="AT16" s="51"/>
      <c r="AU16" s="51"/>
      <c r="AV16" s="51"/>
      <c r="AW16" s="51"/>
      <c r="AX16" s="51"/>
      <c r="AY16" s="51"/>
      <c r="AZ16" s="51"/>
      <c r="BA16" s="51"/>
      <c r="BB16" s="51"/>
    </row>
    <row r="17" spans="1:54" s="54" customFormat="1" ht="84.75" customHeight="1">
      <c r="A17" s="186" t="s">
        <v>5</v>
      </c>
      <c r="B17" s="187" t="s">
        <v>90</v>
      </c>
      <c r="C17" s="188" t="s">
        <v>42</v>
      </c>
      <c r="D17" s="189" t="s">
        <v>84</v>
      </c>
      <c r="E17" s="86">
        <v>1590</v>
      </c>
      <c r="F17" s="86">
        <v>1590</v>
      </c>
      <c r="G17" s="86">
        <v>1590</v>
      </c>
      <c r="H17" s="86">
        <v>1590</v>
      </c>
      <c r="I17" s="86">
        <v>0</v>
      </c>
      <c r="J17" s="86">
        <v>0</v>
      </c>
      <c r="K17" s="86">
        <v>100</v>
      </c>
      <c r="L17" s="86">
        <v>100</v>
      </c>
      <c r="M17" s="86">
        <v>750</v>
      </c>
      <c r="N17" s="86">
        <f>650+100</f>
        <v>750</v>
      </c>
      <c r="O17" s="86">
        <f aca="true" t="shared" si="10" ref="O17:P19">G17-M17</f>
        <v>840</v>
      </c>
      <c r="P17" s="86">
        <f t="shared" si="10"/>
        <v>840</v>
      </c>
      <c r="Q17" s="284" t="s">
        <v>84</v>
      </c>
      <c r="R17" s="285">
        <v>1590</v>
      </c>
      <c r="S17" s="285">
        <v>1590</v>
      </c>
      <c r="T17" s="285">
        <v>1590</v>
      </c>
      <c r="U17" s="285">
        <v>1590</v>
      </c>
      <c r="V17" s="285">
        <v>0</v>
      </c>
      <c r="W17" s="285">
        <v>0</v>
      </c>
      <c r="X17" s="285">
        <v>100</v>
      </c>
      <c r="Y17" s="285">
        <v>100</v>
      </c>
      <c r="Z17" s="285">
        <v>750</v>
      </c>
      <c r="AA17" s="285">
        <f>650+100</f>
        <v>750</v>
      </c>
      <c r="AB17" s="285">
        <f aca="true" t="shared" si="11" ref="AB17:AC19">G17-M17</f>
        <v>840</v>
      </c>
      <c r="AC17" s="285">
        <f t="shared" si="11"/>
        <v>840</v>
      </c>
      <c r="AD17" s="189" t="s">
        <v>259</v>
      </c>
      <c r="AE17" s="86">
        <v>1455.262</v>
      </c>
      <c r="AF17" s="86">
        <v>1455.262</v>
      </c>
      <c r="AG17" s="86">
        <v>1455</v>
      </c>
      <c r="AH17" s="86">
        <v>1455</v>
      </c>
      <c r="AI17" s="86">
        <v>0</v>
      </c>
      <c r="AJ17" s="86">
        <v>0</v>
      </c>
      <c r="AK17" s="86">
        <v>100</v>
      </c>
      <c r="AL17" s="86">
        <v>100</v>
      </c>
      <c r="AM17" s="86">
        <v>120</v>
      </c>
      <c r="AN17" s="86">
        <v>120</v>
      </c>
      <c r="AO17" s="86">
        <v>1335</v>
      </c>
      <c r="AP17" s="86">
        <v>1335</v>
      </c>
      <c r="AQ17" s="191" t="s">
        <v>267</v>
      </c>
      <c r="AR17" s="45"/>
      <c r="AS17" s="45"/>
      <c r="AT17" s="56">
        <f>K17+M17+AB17</f>
        <v>1690</v>
      </c>
      <c r="AU17" s="51"/>
      <c r="AV17" s="51"/>
      <c r="AW17" s="51"/>
      <c r="AX17" s="51"/>
      <c r="AY17" s="51"/>
      <c r="AZ17" s="51"/>
      <c r="BA17" s="51"/>
      <c r="BB17" s="51"/>
    </row>
    <row r="18" spans="1:54" s="54" customFormat="1" ht="87" customHeight="1">
      <c r="A18" s="186" t="s">
        <v>5</v>
      </c>
      <c r="B18" s="187" t="s">
        <v>41</v>
      </c>
      <c r="C18" s="188" t="s">
        <v>42</v>
      </c>
      <c r="D18" s="189" t="s">
        <v>232</v>
      </c>
      <c r="E18" s="86">
        <v>5482</v>
      </c>
      <c r="F18" s="86">
        <v>5482</v>
      </c>
      <c r="G18" s="86">
        <v>2820</v>
      </c>
      <c r="H18" s="86">
        <v>2820</v>
      </c>
      <c r="I18" s="86">
        <v>0</v>
      </c>
      <c r="J18" s="86">
        <v>0</v>
      </c>
      <c r="K18" s="86">
        <v>150</v>
      </c>
      <c r="L18" s="86">
        <v>150</v>
      </c>
      <c r="M18" s="86">
        <f>N18</f>
        <v>772</v>
      </c>
      <c r="N18" s="86">
        <f>622+150</f>
        <v>772</v>
      </c>
      <c r="O18" s="86">
        <f t="shared" si="10"/>
        <v>2048</v>
      </c>
      <c r="P18" s="86">
        <f t="shared" si="10"/>
        <v>2048</v>
      </c>
      <c r="Q18" s="284" t="s">
        <v>232</v>
      </c>
      <c r="R18" s="285">
        <v>5482</v>
      </c>
      <c r="S18" s="285">
        <v>5482</v>
      </c>
      <c r="T18" s="285">
        <v>2820</v>
      </c>
      <c r="U18" s="285">
        <v>2820</v>
      </c>
      <c r="V18" s="285">
        <v>0</v>
      </c>
      <c r="W18" s="285">
        <v>0</v>
      </c>
      <c r="X18" s="285">
        <v>150</v>
      </c>
      <c r="Y18" s="285">
        <v>150</v>
      </c>
      <c r="Z18" s="285">
        <f>AA18</f>
        <v>772</v>
      </c>
      <c r="AA18" s="285">
        <f>622+150</f>
        <v>772</v>
      </c>
      <c r="AB18" s="285">
        <f t="shared" si="11"/>
        <v>2048</v>
      </c>
      <c r="AC18" s="285">
        <f t="shared" si="11"/>
        <v>2048</v>
      </c>
      <c r="AD18" s="189" t="s">
        <v>216</v>
      </c>
      <c r="AE18" s="86">
        <v>4453.496</v>
      </c>
      <c r="AF18" s="86">
        <v>4453.496</v>
      </c>
      <c r="AG18" s="86">
        <v>4422</v>
      </c>
      <c r="AH18" s="86">
        <v>4422</v>
      </c>
      <c r="AI18" s="86">
        <v>0</v>
      </c>
      <c r="AJ18" s="86">
        <v>0</v>
      </c>
      <c r="AK18" s="86">
        <v>150</v>
      </c>
      <c r="AL18" s="86">
        <v>150</v>
      </c>
      <c r="AM18" s="86">
        <v>1094</v>
      </c>
      <c r="AN18" s="86">
        <v>1094</v>
      </c>
      <c r="AO18" s="86">
        <v>3328</v>
      </c>
      <c r="AP18" s="86">
        <v>3328</v>
      </c>
      <c r="AQ18" s="191" t="s">
        <v>268</v>
      </c>
      <c r="AR18" s="45"/>
      <c r="AS18" s="45"/>
      <c r="AT18" s="56">
        <f>K18+M18+AB18</f>
        <v>2970</v>
      </c>
      <c r="AU18" s="51"/>
      <c r="AV18" s="51"/>
      <c r="AW18" s="51"/>
      <c r="AX18" s="51"/>
      <c r="AY18" s="51"/>
      <c r="AZ18" s="51"/>
      <c r="BA18" s="51"/>
      <c r="BB18" s="51"/>
    </row>
    <row r="19" spans="1:54" s="47" customFormat="1" ht="75.75" customHeight="1">
      <c r="A19" s="186" t="s">
        <v>5</v>
      </c>
      <c r="B19" s="187" t="s">
        <v>263</v>
      </c>
      <c r="C19" s="188" t="s">
        <v>42</v>
      </c>
      <c r="D19" s="189" t="s">
        <v>231</v>
      </c>
      <c r="E19" s="86">
        <v>3780</v>
      </c>
      <c r="F19" s="86">
        <v>3780</v>
      </c>
      <c r="G19" s="86">
        <v>610</v>
      </c>
      <c r="H19" s="86">
        <v>610</v>
      </c>
      <c r="I19" s="86">
        <v>0</v>
      </c>
      <c r="J19" s="86">
        <v>0</v>
      </c>
      <c r="K19" s="86">
        <v>0</v>
      </c>
      <c r="L19" s="86">
        <v>0</v>
      </c>
      <c r="M19" s="86">
        <v>0</v>
      </c>
      <c r="N19" s="86">
        <v>0</v>
      </c>
      <c r="O19" s="86">
        <f t="shared" si="10"/>
        <v>610</v>
      </c>
      <c r="P19" s="86">
        <f t="shared" si="10"/>
        <v>610</v>
      </c>
      <c r="Q19" s="284" t="s">
        <v>231</v>
      </c>
      <c r="R19" s="285">
        <v>3780</v>
      </c>
      <c r="S19" s="285">
        <v>3780</v>
      </c>
      <c r="T19" s="285">
        <v>610</v>
      </c>
      <c r="U19" s="285">
        <v>610</v>
      </c>
      <c r="V19" s="285">
        <v>0</v>
      </c>
      <c r="W19" s="285">
        <v>0</v>
      </c>
      <c r="X19" s="285">
        <v>0</v>
      </c>
      <c r="Y19" s="285">
        <v>0</v>
      </c>
      <c r="Z19" s="285">
        <v>0</v>
      </c>
      <c r="AA19" s="285">
        <v>0</v>
      </c>
      <c r="AB19" s="285">
        <f t="shared" si="11"/>
        <v>610</v>
      </c>
      <c r="AC19" s="285">
        <f t="shared" si="11"/>
        <v>610</v>
      </c>
      <c r="AD19" s="189" t="s">
        <v>231</v>
      </c>
      <c r="AE19" s="86">
        <v>3780</v>
      </c>
      <c r="AF19" s="86">
        <v>3780</v>
      </c>
      <c r="AG19" s="86">
        <v>1409</v>
      </c>
      <c r="AH19" s="86">
        <v>1409</v>
      </c>
      <c r="AI19" s="86">
        <v>0</v>
      </c>
      <c r="AJ19" s="86">
        <v>0</v>
      </c>
      <c r="AK19" s="86">
        <v>0</v>
      </c>
      <c r="AL19" s="86">
        <v>0</v>
      </c>
      <c r="AM19" s="86">
        <v>610</v>
      </c>
      <c r="AN19" s="86">
        <v>610</v>
      </c>
      <c r="AO19" s="86">
        <v>346</v>
      </c>
      <c r="AP19" s="86">
        <v>346</v>
      </c>
      <c r="AQ19" s="191" t="s">
        <v>269</v>
      </c>
      <c r="AR19" s="50" t="s">
        <v>104</v>
      </c>
      <c r="AS19" s="50"/>
      <c r="AT19" s="317" t="s">
        <v>158</v>
      </c>
      <c r="AU19" s="318"/>
      <c r="AV19" s="318"/>
      <c r="AW19" s="318"/>
      <c r="AX19" s="318"/>
      <c r="AY19" s="318"/>
      <c r="AZ19" s="318"/>
      <c r="BA19" s="318"/>
      <c r="BB19" s="318"/>
    </row>
    <row r="20" spans="1:54" s="54" customFormat="1" ht="53.25" customHeight="1">
      <c r="A20" s="186" t="s">
        <v>5</v>
      </c>
      <c r="B20" s="187" t="s">
        <v>257</v>
      </c>
      <c r="C20" s="188" t="s">
        <v>42</v>
      </c>
      <c r="D20" s="189" t="s">
        <v>85</v>
      </c>
      <c r="E20" s="86">
        <v>1958</v>
      </c>
      <c r="F20" s="86">
        <v>1958</v>
      </c>
      <c r="G20" s="86">
        <v>1958</v>
      </c>
      <c r="H20" s="86">
        <v>1958</v>
      </c>
      <c r="I20" s="86">
        <v>0</v>
      </c>
      <c r="J20" s="86">
        <v>0</v>
      </c>
      <c r="K20" s="86">
        <v>100</v>
      </c>
      <c r="L20" s="86">
        <v>100</v>
      </c>
      <c r="M20" s="86">
        <f>N20</f>
        <v>800</v>
      </c>
      <c r="N20" s="86">
        <f>700+100</f>
        <v>800</v>
      </c>
      <c r="O20" s="86">
        <f>G20-M20</f>
        <v>1158</v>
      </c>
      <c r="P20" s="86">
        <f>H20-N20</f>
        <v>1158</v>
      </c>
      <c r="Q20" s="284" t="s">
        <v>85</v>
      </c>
      <c r="R20" s="285">
        <v>1958</v>
      </c>
      <c r="S20" s="285">
        <v>1958</v>
      </c>
      <c r="T20" s="285">
        <v>1958</v>
      </c>
      <c r="U20" s="285">
        <v>1958</v>
      </c>
      <c r="V20" s="285">
        <v>0</v>
      </c>
      <c r="W20" s="285">
        <v>0</v>
      </c>
      <c r="X20" s="285">
        <v>100</v>
      </c>
      <c r="Y20" s="285">
        <v>100</v>
      </c>
      <c r="Z20" s="285">
        <f>AA20</f>
        <v>800</v>
      </c>
      <c r="AA20" s="285">
        <f>700+100</f>
        <v>800</v>
      </c>
      <c r="AB20" s="285">
        <f>G20-M20</f>
        <v>1158</v>
      </c>
      <c r="AC20" s="285">
        <f>H20-N20</f>
        <v>1158</v>
      </c>
      <c r="AD20" s="189" t="s">
        <v>258</v>
      </c>
      <c r="AE20" s="86">
        <v>503.505903</v>
      </c>
      <c r="AF20" s="86">
        <v>503.505903</v>
      </c>
      <c r="AG20" s="302">
        <v>58.619</v>
      </c>
      <c r="AH20" s="302">
        <v>58.619</v>
      </c>
      <c r="AI20" s="302">
        <v>0</v>
      </c>
      <c r="AJ20" s="302">
        <v>0</v>
      </c>
      <c r="AK20" s="302">
        <v>100</v>
      </c>
      <c r="AL20" s="302">
        <v>100</v>
      </c>
      <c r="AM20" s="302"/>
      <c r="AN20" s="302"/>
      <c r="AO20" s="303">
        <v>59</v>
      </c>
      <c r="AP20" s="303">
        <v>59</v>
      </c>
      <c r="AQ20" s="191" t="s">
        <v>270</v>
      </c>
      <c r="AR20" s="45"/>
      <c r="AS20" s="45"/>
      <c r="AT20" s="56">
        <f>K20+M20+AB20</f>
        <v>2058</v>
      </c>
      <c r="AU20" s="51"/>
      <c r="AV20" s="51"/>
      <c r="AW20" s="51"/>
      <c r="AX20" s="51"/>
      <c r="AY20" s="51"/>
      <c r="AZ20" s="51"/>
      <c r="BA20" s="51"/>
      <c r="BB20" s="51"/>
    </row>
    <row r="21" spans="1:54" s="256" customFormat="1" ht="64.5" customHeight="1">
      <c r="A21" s="186" t="s">
        <v>5</v>
      </c>
      <c r="B21" s="187" t="s">
        <v>121</v>
      </c>
      <c r="C21" s="188" t="s">
        <v>42</v>
      </c>
      <c r="D21" s="189"/>
      <c r="E21" s="86"/>
      <c r="F21" s="86"/>
      <c r="G21" s="86"/>
      <c r="H21" s="86"/>
      <c r="I21" s="86"/>
      <c r="J21" s="86"/>
      <c r="K21" s="86"/>
      <c r="L21" s="86"/>
      <c r="M21" s="86"/>
      <c r="N21" s="86"/>
      <c r="O21" s="86"/>
      <c r="P21" s="86"/>
      <c r="Q21" s="284"/>
      <c r="R21" s="285"/>
      <c r="S21" s="285"/>
      <c r="T21" s="285"/>
      <c r="U21" s="285"/>
      <c r="V21" s="285"/>
      <c r="W21" s="285"/>
      <c r="X21" s="285"/>
      <c r="Y21" s="285"/>
      <c r="Z21" s="285"/>
      <c r="AA21" s="285"/>
      <c r="AB21" s="285"/>
      <c r="AC21" s="285"/>
      <c r="AD21" s="189" t="s">
        <v>265</v>
      </c>
      <c r="AE21" s="86">
        <v>4045.571616</v>
      </c>
      <c r="AF21" s="86">
        <v>4045.571616</v>
      </c>
      <c r="AG21" s="86">
        <v>2320</v>
      </c>
      <c r="AH21" s="86">
        <v>2320</v>
      </c>
      <c r="AI21" s="86"/>
      <c r="AJ21" s="86"/>
      <c r="AK21" s="86"/>
      <c r="AL21" s="86"/>
      <c r="AM21" s="86"/>
      <c r="AN21" s="86"/>
      <c r="AO21" s="303">
        <f>AP21</f>
        <v>803</v>
      </c>
      <c r="AP21" s="303">
        <f>745+58</f>
        <v>803</v>
      </c>
      <c r="AQ21" s="190"/>
      <c r="AR21" s="50"/>
      <c r="AS21" s="50"/>
      <c r="AT21" s="255"/>
      <c r="AU21" s="255"/>
      <c r="AV21" s="255"/>
      <c r="AW21" s="255"/>
      <c r="AX21" s="255"/>
      <c r="AY21" s="255"/>
      <c r="AZ21" s="255"/>
      <c r="BA21" s="255"/>
      <c r="BB21" s="255"/>
    </row>
    <row r="22" spans="1:54" s="54" customFormat="1" ht="26.25" customHeight="1">
      <c r="A22" s="265" t="s">
        <v>21</v>
      </c>
      <c r="B22" s="185" t="s">
        <v>266</v>
      </c>
      <c r="C22" s="265"/>
      <c r="D22" s="265"/>
      <c r="E22" s="183" t="e">
        <f>#REF!</f>
        <v>#REF!</v>
      </c>
      <c r="F22" s="183" t="e">
        <f>#REF!</f>
        <v>#REF!</v>
      </c>
      <c r="G22" s="183" t="e">
        <f>#REF!</f>
        <v>#REF!</v>
      </c>
      <c r="H22" s="183" t="e">
        <f>#REF!</f>
        <v>#REF!</v>
      </c>
      <c r="I22" s="183" t="e">
        <f>#REF!</f>
        <v>#REF!</v>
      </c>
      <c r="J22" s="183" t="e">
        <f>#REF!</f>
        <v>#REF!</v>
      </c>
      <c r="K22" s="183" t="e">
        <f>#REF!</f>
        <v>#REF!</v>
      </c>
      <c r="L22" s="183" t="e">
        <f>#REF!</f>
        <v>#REF!</v>
      </c>
      <c r="M22" s="183" t="e">
        <f>#REF!</f>
        <v>#REF!</v>
      </c>
      <c r="N22" s="183" t="e">
        <f>#REF!</f>
        <v>#REF!</v>
      </c>
      <c r="O22" s="183" t="e">
        <f>#REF!</f>
        <v>#REF!</v>
      </c>
      <c r="P22" s="183" t="e">
        <f>#REF!</f>
        <v>#REF!</v>
      </c>
      <c r="Q22" s="282"/>
      <c r="R22" s="283" t="e">
        <f>#REF!</f>
        <v>#REF!</v>
      </c>
      <c r="S22" s="283" t="e">
        <f>#REF!</f>
        <v>#REF!</v>
      </c>
      <c r="T22" s="283" t="e">
        <f>#REF!</f>
        <v>#REF!</v>
      </c>
      <c r="U22" s="283" t="e">
        <f>#REF!</f>
        <v>#REF!</v>
      </c>
      <c r="V22" s="283" t="e">
        <f>#REF!</f>
        <v>#REF!</v>
      </c>
      <c r="W22" s="283" t="e">
        <f>#REF!</f>
        <v>#REF!</v>
      </c>
      <c r="X22" s="283" t="e">
        <f>#REF!</f>
        <v>#REF!</v>
      </c>
      <c r="Y22" s="283" t="e">
        <f>#REF!</f>
        <v>#REF!</v>
      </c>
      <c r="Z22" s="283" t="e">
        <f>#REF!</f>
        <v>#REF!</v>
      </c>
      <c r="AA22" s="283" t="e">
        <f>#REF!</f>
        <v>#REF!</v>
      </c>
      <c r="AB22" s="283" t="e">
        <f>#REF!</f>
        <v>#REF!</v>
      </c>
      <c r="AC22" s="283" t="e">
        <f>#REF!</f>
        <v>#REF!</v>
      </c>
      <c r="AD22" s="274"/>
      <c r="AE22" s="183">
        <f>AE23</f>
        <v>3612.616839</v>
      </c>
      <c r="AF22" s="183">
        <f aca="true" t="shared" si="12" ref="AF22:AP22">AF23</f>
        <v>3612.616839</v>
      </c>
      <c r="AG22" s="183">
        <f t="shared" si="12"/>
        <v>1749</v>
      </c>
      <c r="AH22" s="183">
        <f t="shared" si="12"/>
        <v>1749</v>
      </c>
      <c r="AI22" s="183">
        <f t="shared" si="12"/>
        <v>0</v>
      </c>
      <c r="AJ22" s="183">
        <f t="shared" si="12"/>
        <v>0</v>
      </c>
      <c r="AK22" s="183">
        <f t="shared" si="12"/>
        <v>0</v>
      </c>
      <c r="AL22" s="183">
        <f t="shared" si="12"/>
        <v>0</v>
      </c>
      <c r="AM22" s="183">
        <f t="shared" si="12"/>
        <v>0</v>
      </c>
      <c r="AN22" s="183">
        <f t="shared" si="12"/>
        <v>0</v>
      </c>
      <c r="AO22" s="183">
        <f t="shared" si="12"/>
        <v>55</v>
      </c>
      <c r="AP22" s="183">
        <f t="shared" si="12"/>
        <v>55</v>
      </c>
      <c r="AQ22" s="184"/>
      <c r="AR22" s="45"/>
      <c r="AS22" s="45"/>
      <c r="AT22" s="51"/>
      <c r="AU22" s="51"/>
      <c r="AV22" s="51"/>
      <c r="AW22" s="51"/>
      <c r="AX22" s="51"/>
      <c r="AY22" s="51"/>
      <c r="AZ22" s="51"/>
      <c r="BA22" s="51"/>
      <c r="BB22" s="51"/>
    </row>
    <row r="23" spans="1:54" s="47" customFormat="1" ht="101.25" customHeight="1">
      <c r="A23" s="186"/>
      <c r="B23" s="187" t="s">
        <v>262</v>
      </c>
      <c r="C23" s="188" t="s">
        <v>42</v>
      </c>
      <c r="D23" s="189"/>
      <c r="E23" s="86"/>
      <c r="F23" s="86"/>
      <c r="G23" s="86"/>
      <c r="H23" s="86"/>
      <c r="I23" s="86"/>
      <c r="J23" s="86"/>
      <c r="K23" s="86"/>
      <c r="L23" s="86"/>
      <c r="M23" s="86"/>
      <c r="N23" s="86"/>
      <c r="O23" s="86"/>
      <c r="P23" s="86"/>
      <c r="Q23" s="284"/>
      <c r="R23" s="285"/>
      <c r="S23" s="285"/>
      <c r="T23" s="285"/>
      <c r="U23" s="285"/>
      <c r="V23" s="285"/>
      <c r="W23" s="285"/>
      <c r="X23" s="285"/>
      <c r="Y23" s="285"/>
      <c r="Z23" s="285"/>
      <c r="AA23" s="285"/>
      <c r="AB23" s="285"/>
      <c r="AC23" s="285"/>
      <c r="AD23" s="189" t="s">
        <v>264</v>
      </c>
      <c r="AE23" s="86">
        <v>3612.616839</v>
      </c>
      <c r="AF23" s="86">
        <v>3612.616839</v>
      </c>
      <c r="AG23" s="86">
        <v>1749</v>
      </c>
      <c r="AH23" s="86">
        <v>1749</v>
      </c>
      <c r="AI23" s="86"/>
      <c r="AJ23" s="86"/>
      <c r="AK23" s="86"/>
      <c r="AL23" s="86"/>
      <c r="AM23" s="86">
        <v>0</v>
      </c>
      <c r="AN23" s="86">
        <v>0</v>
      </c>
      <c r="AO23" s="86">
        <v>55</v>
      </c>
      <c r="AP23" s="86">
        <v>55</v>
      </c>
      <c r="AQ23" s="190"/>
      <c r="AR23" s="50"/>
      <c r="AS23" s="50"/>
      <c r="AT23" s="317"/>
      <c r="AU23" s="318"/>
      <c r="AV23" s="318"/>
      <c r="AW23" s="318"/>
      <c r="AX23" s="318"/>
      <c r="AY23" s="318"/>
      <c r="AZ23" s="318"/>
      <c r="BA23" s="318"/>
      <c r="BB23" s="318"/>
    </row>
    <row r="24" spans="1:54" s="97" customFormat="1" ht="37.5" customHeight="1">
      <c r="A24" s="265">
        <v>2</v>
      </c>
      <c r="B24" s="185" t="s">
        <v>23</v>
      </c>
      <c r="C24" s="265"/>
      <c r="D24" s="265"/>
      <c r="E24" s="183" t="e">
        <f>E25+E26</f>
        <v>#REF!</v>
      </c>
      <c r="F24" s="183" t="e">
        <f aca="true" t="shared" si="13" ref="F24:AC24">F25+F26</f>
        <v>#REF!</v>
      </c>
      <c r="G24" s="183" t="e">
        <f t="shared" si="13"/>
        <v>#REF!</v>
      </c>
      <c r="H24" s="183" t="e">
        <f t="shared" si="13"/>
        <v>#REF!</v>
      </c>
      <c r="I24" s="183" t="e">
        <f t="shared" si="13"/>
        <v>#REF!</v>
      </c>
      <c r="J24" s="183" t="e">
        <f t="shared" si="13"/>
        <v>#REF!</v>
      </c>
      <c r="K24" s="183" t="e">
        <f t="shared" si="13"/>
        <v>#REF!</v>
      </c>
      <c r="L24" s="183" t="e">
        <f t="shared" si="13"/>
        <v>#REF!</v>
      </c>
      <c r="M24" s="183" t="e">
        <f t="shared" si="13"/>
        <v>#REF!</v>
      </c>
      <c r="N24" s="183" t="e">
        <f t="shared" si="13"/>
        <v>#REF!</v>
      </c>
      <c r="O24" s="183" t="e">
        <f t="shared" si="13"/>
        <v>#REF!</v>
      </c>
      <c r="P24" s="183" t="e">
        <f t="shared" si="13"/>
        <v>#REF!</v>
      </c>
      <c r="Q24" s="282"/>
      <c r="R24" s="283" t="e">
        <f>R25+R26</f>
        <v>#REF!</v>
      </c>
      <c r="S24" s="283" t="e">
        <f aca="true" t="shared" si="14" ref="S24:AA24">S25+S26</f>
        <v>#REF!</v>
      </c>
      <c r="T24" s="283" t="e">
        <f t="shared" si="14"/>
        <v>#REF!</v>
      </c>
      <c r="U24" s="283" t="e">
        <f t="shared" si="14"/>
        <v>#REF!</v>
      </c>
      <c r="V24" s="283" t="e">
        <f t="shared" si="14"/>
        <v>#REF!</v>
      </c>
      <c r="W24" s="283" t="e">
        <f t="shared" si="14"/>
        <v>#REF!</v>
      </c>
      <c r="X24" s="283" t="e">
        <f t="shared" si="14"/>
        <v>#REF!</v>
      </c>
      <c r="Y24" s="283" t="e">
        <f t="shared" si="14"/>
        <v>#REF!</v>
      </c>
      <c r="Z24" s="283" t="e">
        <f t="shared" si="14"/>
        <v>#REF!</v>
      </c>
      <c r="AA24" s="283" t="e">
        <f t="shared" si="14"/>
        <v>#REF!</v>
      </c>
      <c r="AB24" s="283" t="e">
        <f t="shared" si="13"/>
        <v>#REF!</v>
      </c>
      <c r="AC24" s="283" t="e">
        <f t="shared" si="13"/>
        <v>#REF!</v>
      </c>
      <c r="AD24" s="274"/>
      <c r="AE24" s="183">
        <f>AE25+AE26</f>
        <v>5763</v>
      </c>
      <c r="AF24" s="183">
        <f aca="true" t="shared" si="15" ref="AF24:AP24">AF25+AF26</f>
        <v>5763</v>
      </c>
      <c r="AG24" s="183">
        <f t="shared" si="15"/>
        <v>3661</v>
      </c>
      <c r="AH24" s="183">
        <f t="shared" si="15"/>
        <v>3661</v>
      </c>
      <c r="AI24" s="183">
        <f t="shared" si="15"/>
        <v>0</v>
      </c>
      <c r="AJ24" s="183">
        <f t="shared" si="15"/>
        <v>0</v>
      </c>
      <c r="AK24" s="183">
        <f t="shared" si="15"/>
        <v>0</v>
      </c>
      <c r="AL24" s="183">
        <f t="shared" si="15"/>
        <v>0</v>
      </c>
      <c r="AM24" s="183">
        <f t="shared" si="15"/>
        <v>661</v>
      </c>
      <c r="AN24" s="183">
        <f t="shared" si="15"/>
        <v>661</v>
      </c>
      <c r="AO24" s="183">
        <f t="shared" si="15"/>
        <v>3000</v>
      </c>
      <c r="AP24" s="183">
        <f t="shared" si="15"/>
        <v>3000</v>
      </c>
      <c r="AQ24" s="184"/>
      <c r="AR24" s="27"/>
      <c r="AS24" s="27"/>
      <c r="AT24" s="91" t="s">
        <v>157</v>
      </c>
      <c r="AU24" s="96"/>
      <c r="AV24" s="96"/>
      <c r="AW24" s="96"/>
      <c r="AX24" s="96"/>
      <c r="AY24" s="96"/>
      <c r="AZ24" s="96"/>
      <c r="BA24" s="96"/>
      <c r="BB24" s="96"/>
    </row>
    <row r="25" spans="1:54" s="54" customFormat="1" ht="39" customHeight="1">
      <c r="A25" s="265" t="s">
        <v>45</v>
      </c>
      <c r="B25" s="185" t="s">
        <v>40</v>
      </c>
      <c r="C25" s="265"/>
      <c r="D25" s="265"/>
      <c r="E25" s="183">
        <v>0</v>
      </c>
      <c r="F25" s="183">
        <v>0</v>
      </c>
      <c r="G25" s="183">
        <v>0</v>
      </c>
      <c r="H25" s="183">
        <v>0</v>
      </c>
      <c r="I25" s="183">
        <v>0</v>
      </c>
      <c r="J25" s="183">
        <v>0</v>
      </c>
      <c r="K25" s="183">
        <v>0</v>
      </c>
      <c r="L25" s="183">
        <v>0</v>
      </c>
      <c r="M25" s="183">
        <v>0</v>
      </c>
      <c r="N25" s="183">
        <v>0</v>
      </c>
      <c r="O25" s="183">
        <v>0</v>
      </c>
      <c r="P25" s="183">
        <v>0</v>
      </c>
      <c r="Q25" s="282"/>
      <c r="R25" s="283">
        <v>0</v>
      </c>
      <c r="S25" s="283">
        <v>0</v>
      </c>
      <c r="T25" s="283">
        <v>0</v>
      </c>
      <c r="U25" s="283">
        <v>0</v>
      </c>
      <c r="V25" s="283">
        <v>0</v>
      </c>
      <c r="W25" s="283">
        <v>0</v>
      </c>
      <c r="X25" s="283">
        <v>0</v>
      </c>
      <c r="Y25" s="283">
        <v>0</v>
      </c>
      <c r="Z25" s="283">
        <v>0</v>
      </c>
      <c r="AA25" s="283">
        <v>0</v>
      </c>
      <c r="AB25" s="283">
        <v>0</v>
      </c>
      <c r="AC25" s="283">
        <v>0</v>
      </c>
      <c r="AD25" s="274"/>
      <c r="AE25" s="183">
        <v>0</v>
      </c>
      <c r="AF25" s="183">
        <v>0</v>
      </c>
      <c r="AG25" s="183">
        <v>0</v>
      </c>
      <c r="AH25" s="183">
        <v>0</v>
      </c>
      <c r="AI25" s="183">
        <v>0</v>
      </c>
      <c r="AJ25" s="183">
        <v>0</v>
      </c>
      <c r="AK25" s="183">
        <v>0</v>
      </c>
      <c r="AL25" s="183">
        <v>0</v>
      </c>
      <c r="AM25" s="183">
        <v>0</v>
      </c>
      <c r="AN25" s="183">
        <v>0</v>
      </c>
      <c r="AO25" s="183">
        <v>0</v>
      </c>
      <c r="AP25" s="183">
        <v>0</v>
      </c>
      <c r="AQ25" s="184"/>
      <c r="AR25" s="45"/>
      <c r="AS25" s="45"/>
      <c r="AT25" s="51"/>
      <c r="AU25" s="51"/>
      <c r="AV25" s="51"/>
      <c r="AW25" s="51"/>
      <c r="AX25" s="51"/>
      <c r="AY25" s="51"/>
      <c r="AZ25" s="51"/>
      <c r="BA25" s="51"/>
      <c r="BB25" s="51"/>
    </row>
    <row r="26" spans="1:54" s="54" customFormat="1" ht="32.25" customHeight="1">
      <c r="A26" s="265" t="s">
        <v>46</v>
      </c>
      <c r="B26" s="185" t="s">
        <v>43</v>
      </c>
      <c r="C26" s="265"/>
      <c r="D26" s="265"/>
      <c r="E26" s="183" t="e">
        <f>E27+E29</f>
        <v>#REF!</v>
      </c>
      <c r="F26" s="183" t="e">
        <f aca="true" t="shared" si="16" ref="F26:AC26">F27+F29</f>
        <v>#REF!</v>
      </c>
      <c r="G26" s="183" t="e">
        <f t="shared" si="16"/>
        <v>#REF!</v>
      </c>
      <c r="H26" s="183" t="e">
        <f t="shared" si="16"/>
        <v>#REF!</v>
      </c>
      <c r="I26" s="183" t="e">
        <f t="shared" si="16"/>
        <v>#REF!</v>
      </c>
      <c r="J26" s="183" t="e">
        <f t="shared" si="16"/>
        <v>#REF!</v>
      </c>
      <c r="K26" s="183" t="e">
        <f t="shared" si="16"/>
        <v>#REF!</v>
      </c>
      <c r="L26" s="183" t="e">
        <f t="shared" si="16"/>
        <v>#REF!</v>
      </c>
      <c r="M26" s="183" t="e">
        <f t="shared" si="16"/>
        <v>#REF!</v>
      </c>
      <c r="N26" s="183" t="e">
        <f t="shared" si="16"/>
        <v>#REF!</v>
      </c>
      <c r="O26" s="183" t="e">
        <f t="shared" si="16"/>
        <v>#REF!</v>
      </c>
      <c r="P26" s="183" t="e">
        <f t="shared" si="16"/>
        <v>#REF!</v>
      </c>
      <c r="Q26" s="282"/>
      <c r="R26" s="283" t="e">
        <f>R27+R29</f>
        <v>#REF!</v>
      </c>
      <c r="S26" s="283" t="e">
        <f aca="true" t="shared" si="17" ref="S26:AA26">S27+S29</f>
        <v>#REF!</v>
      </c>
      <c r="T26" s="283" t="e">
        <f t="shared" si="17"/>
        <v>#REF!</v>
      </c>
      <c r="U26" s="283" t="e">
        <f t="shared" si="17"/>
        <v>#REF!</v>
      </c>
      <c r="V26" s="283" t="e">
        <f t="shared" si="17"/>
        <v>#REF!</v>
      </c>
      <c r="W26" s="283" t="e">
        <f t="shared" si="17"/>
        <v>#REF!</v>
      </c>
      <c r="X26" s="283" t="e">
        <f t="shared" si="17"/>
        <v>#REF!</v>
      </c>
      <c r="Y26" s="283" t="e">
        <f t="shared" si="17"/>
        <v>#REF!</v>
      </c>
      <c r="Z26" s="283" t="e">
        <f t="shared" si="17"/>
        <v>#REF!</v>
      </c>
      <c r="AA26" s="283" t="e">
        <f t="shared" si="17"/>
        <v>#REF!</v>
      </c>
      <c r="AB26" s="283" t="e">
        <f t="shared" si="16"/>
        <v>#REF!</v>
      </c>
      <c r="AC26" s="283" t="e">
        <f t="shared" si="16"/>
        <v>#REF!</v>
      </c>
      <c r="AD26" s="274"/>
      <c r="AE26" s="183">
        <f>AE27+AE29</f>
        <v>5763</v>
      </c>
      <c r="AF26" s="183">
        <f aca="true" t="shared" si="18" ref="AF26:AP26">AF27+AF29</f>
        <v>5763</v>
      </c>
      <c r="AG26" s="183">
        <f t="shared" si="18"/>
        <v>3661</v>
      </c>
      <c r="AH26" s="183">
        <f t="shared" si="18"/>
        <v>3661</v>
      </c>
      <c r="AI26" s="183">
        <f t="shared" si="18"/>
        <v>0</v>
      </c>
      <c r="AJ26" s="183">
        <f t="shared" si="18"/>
        <v>0</v>
      </c>
      <c r="AK26" s="183">
        <f t="shared" si="18"/>
        <v>0</v>
      </c>
      <c r="AL26" s="183">
        <f t="shared" si="18"/>
        <v>0</v>
      </c>
      <c r="AM26" s="183">
        <f t="shared" si="18"/>
        <v>661</v>
      </c>
      <c r="AN26" s="183">
        <f t="shared" si="18"/>
        <v>661</v>
      </c>
      <c r="AO26" s="183">
        <f t="shared" si="18"/>
        <v>3000</v>
      </c>
      <c r="AP26" s="183">
        <f t="shared" si="18"/>
        <v>3000</v>
      </c>
      <c r="AQ26" s="184"/>
      <c r="AR26" s="45"/>
      <c r="AS26" s="45"/>
      <c r="AT26" s="51"/>
      <c r="AU26" s="51"/>
      <c r="AV26" s="51"/>
      <c r="AW26" s="51"/>
      <c r="AX26" s="51"/>
      <c r="AY26" s="51"/>
      <c r="AZ26" s="51"/>
      <c r="BA26" s="51"/>
      <c r="BB26" s="51"/>
    </row>
    <row r="27" spans="1:54" s="54" customFormat="1" ht="40.5" customHeight="1">
      <c r="A27" s="265" t="s">
        <v>18</v>
      </c>
      <c r="B27" s="185" t="s">
        <v>272</v>
      </c>
      <c r="C27" s="265"/>
      <c r="D27" s="265"/>
      <c r="E27" s="183" t="e">
        <f>#REF!</f>
        <v>#REF!</v>
      </c>
      <c r="F27" s="183" t="e">
        <f>#REF!</f>
        <v>#REF!</v>
      </c>
      <c r="G27" s="183" t="e">
        <f>#REF!</f>
        <v>#REF!</v>
      </c>
      <c r="H27" s="183" t="e">
        <f>#REF!</f>
        <v>#REF!</v>
      </c>
      <c r="I27" s="183" t="e">
        <f>#REF!</f>
        <v>#REF!</v>
      </c>
      <c r="J27" s="183" t="e">
        <f>#REF!</f>
        <v>#REF!</v>
      </c>
      <c r="K27" s="183" t="e">
        <f>#REF!</f>
        <v>#REF!</v>
      </c>
      <c r="L27" s="183" t="e">
        <f>#REF!</f>
        <v>#REF!</v>
      </c>
      <c r="M27" s="183" t="e">
        <f>#REF!</f>
        <v>#REF!</v>
      </c>
      <c r="N27" s="183" t="e">
        <f>#REF!</f>
        <v>#REF!</v>
      </c>
      <c r="O27" s="183" t="e">
        <f>#REF!</f>
        <v>#REF!</v>
      </c>
      <c r="P27" s="183" t="e">
        <f>#REF!</f>
        <v>#REF!</v>
      </c>
      <c r="Q27" s="282"/>
      <c r="R27" s="283" t="e">
        <f>#REF!</f>
        <v>#REF!</v>
      </c>
      <c r="S27" s="283" t="e">
        <f>#REF!</f>
        <v>#REF!</v>
      </c>
      <c r="T27" s="283" t="e">
        <f>#REF!</f>
        <v>#REF!</v>
      </c>
      <c r="U27" s="283" t="e">
        <f>#REF!</f>
        <v>#REF!</v>
      </c>
      <c r="V27" s="283" t="e">
        <f>#REF!</f>
        <v>#REF!</v>
      </c>
      <c r="W27" s="283" t="e">
        <f>#REF!</f>
        <v>#REF!</v>
      </c>
      <c r="X27" s="283" t="e">
        <f>#REF!</f>
        <v>#REF!</v>
      </c>
      <c r="Y27" s="283" t="e">
        <f>#REF!</f>
        <v>#REF!</v>
      </c>
      <c r="Z27" s="283" t="e">
        <f>#REF!</f>
        <v>#REF!</v>
      </c>
      <c r="AA27" s="283" t="e">
        <f>#REF!</f>
        <v>#REF!</v>
      </c>
      <c r="AB27" s="283" t="e">
        <f>#REF!</f>
        <v>#REF!</v>
      </c>
      <c r="AC27" s="283" t="e">
        <f>#REF!</f>
        <v>#REF!</v>
      </c>
      <c r="AD27" s="274"/>
      <c r="AE27" s="183">
        <f>AE28</f>
        <v>775</v>
      </c>
      <c r="AF27" s="183">
        <f aca="true" t="shared" si="19" ref="AF27:AP27">AF28</f>
        <v>775</v>
      </c>
      <c r="AG27" s="183">
        <f t="shared" si="19"/>
        <v>775</v>
      </c>
      <c r="AH27" s="183">
        <f t="shared" si="19"/>
        <v>775</v>
      </c>
      <c r="AI27" s="183">
        <f t="shared" si="19"/>
        <v>0</v>
      </c>
      <c r="AJ27" s="183">
        <f t="shared" si="19"/>
        <v>0</v>
      </c>
      <c r="AK27" s="183">
        <f t="shared" si="19"/>
        <v>0</v>
      </c>
      <c r="AL27" s="183">
        <f t="shared" si="19"/>
        <v>0</v>
      </c>
      <c r="AM27" s="183">
        <f t="shared" si="19"/>
        <v>661</v>
      </c>
      <c r="AN27" s="183">
        <f t="shared" si="19"/>
        <v>661</v>
      </c>
      <c r="AO27" s="183">
        <f t="shared" si="19"/>
        <v>114</v>
      </c>
      <c r="AP27" s="183">
        <f t="shared" si="19"/>
        <v>114</v>
      </c>
      <c r="AQ27" s="184"/>
      <c r="AR27" s="45"/>
      <c r="AS27" s="45"/>
      <c r="AT27" s="51"/>
      <c r="AU27" s="51"/>
      <c r="AV27" s="51"/>
      <c r="AW27" s="51"/>
      <c r="AX27" s="51"/>
      <c r="AY27" s="51"/>
      <c r="AZ27" s="51"/>
      <c r="BA27" s="51"/>
      <c r="BB27" s="51"/>
    </row>
    <row r="28" spans="1:54" s="47" customFormat="1" ht="87" customHeight="1">
      <c r="A28" s="188" t="s">
        <v>5</v>
      </c>
      <c r="B28" s="187" t="s">
        <v>188</v>
      </c>
      <c r="C28" s="188" t="s">
        <v>42</v>
      </c>
      <c r="D28" s="188" t="s">
        <v>217</v>
      </c>
      <c r="E28" s="86">
        <v>775</v>
      </c>
      <c r="F28" s="86">
        <v>775</v>
      </c>
      <c r="G28" s="86">
        <v>775</v>
      </c>
      <c r="H28" s="86">
        <v>775</v>
      </c>
      <c r="I28" s="86">
        <v>0</v>
      </c>
      <c r="J28" s="86">
        <v>0</v>
      </c>
      <c r="K28" s="86">
        <v>0</v>
      </c>
      <c r="L28" s="86">
        <v>0</v>
      </c>
      <c r="M28" s="86">
        <v>100</v>
      </c>
      <c r="N28" s="86">
        <v>100</v>
      </c>
      <c r="O28" s="86">
        <v>561</v>
      </c>
      <c r="P28" s="86">
        <v>561</v>
      </c>
      <c r="Q28" s="286" t="s">
        <v>217</v>
      </c>
      <c r="R28" s="285">
        <v>775</v>
      </c>
      <c r="S28" s="285">
        <v>775</v>
      </c>
      <c r="T28" s="285">
        <v>775</v>
      </c>
      <c r="U28" s="285">
        <v>775</v>
      </c>
      <c r="V28" s="285">
        <v>0</v>
      </c>
      <c r="W28" s="285">
        <v>0</v>
      </c>
      <c r="X28" s="285">
        <v>0</v>
      </c>
      <c r="Y28" s="285">
        <v>0</v>
      </c>
      <c r="Z28" s="285">
        <v>100</v>
      </c>
      <c r="AA28" s="285">
        <v>100</v>
      </c>
      <c r="AB28" s="285">
        <v>561</v>
      </c>
      <c r="AC28" s="285">
        <v>561</v>
      </c>
      <c r="AD28" s="188" t="s">
        <v>217</v>
      </c>
      <c r="AE28" s="86">
        <v>775</v>
      </c>
      <c r="AF28" s="86">
        <v>775</v>
      </c>
      <c r="AG28" s="86">
        <v>775</v>
      </c>
      <c r="AH28" s="86">
        <v>775</v>
      </c>
      <c r="AI28" s="86">
        <v>0</v>
      </c>
      <c r="AJ28" s="86">
        <v>0</v>
      </c>
      <c r="AK28" s="86">
        <v>0</v>
      </c>
      <c r="AL28" s="86">
        <v>0</v>
      </c>
      <c r="AM28" s="86">
        <v>661</v>
      </c>
      <c r="AN28" s="86">
        <v>661</v>
      </c>
      <c r="AO28" s="86">
        <v>114</v>
      </c>
      <c r="AP28" s="86">
        <v>114</v>
      </c>
      <c r="AQ28" s="190" t="s">
        <v>271</v>
      </c>
      <c r="AR28" s="50" t="s">
        <v>106</v>
      </c>
      <c r="AS28" s="50"/>
      <c r="AT28" s="182"/>
      <c r="AU28" s="182"/>
      <c r="AV28" s="182"/>
      <c r="AW28" s="182"/>
      <c r="AX28" s="182"/>
      <c r="AY28" s="182"/>
      <c r="AZ28" s="182"/>
      <c r="BA28" s="182"/>
      <c r="BB28" s="182"/>
    </row>
    <row r="29" spans="1:54" s="54" customFormat="1" ht="37.5" customHeight="1">
      <c r="A29" s="265" t="s">
        <v>21</v>
      </c>
      <c r="B29" s="185" t="s">
        <v>89</v>
      </c>
      <c r="C29" s="265"/>
      <c r="D29" s="265"/>
      <c r="E29" s="183">
        <f aca="true" t="shared" si="20" ref="E29:P29">E28</f>
        <v>775</v>
      </c>
      <c r="F29" s="183">
        <f t="shared" si="20"/>
        <v>775</v>
      </c>
      <c r="G29" s="183">
        <f t="shared" si="20"/>
        <v>775</v>
      </c>
      <c r="H29" s="183">
        <f t="shared" si="20"/>
        <v>775</v>
      </c>
      <c r="I29" s="183">
        <f t="shared" si="20"/>
        <v>0</v>
      </c>
      <c r="J29" s="183">
        <f t="shared" si="20"/>
        <v>0</v>
      </c>
      <c r="K29" s="183">
        <f t="shared" si="20"/>
        <v>0</v>
      </c>
      <c r="L29" s="183">
        <f t="shared" si="20"/>
        <v>0</v>
      </c>
      <c r="M29" s="183">
        <f t="shared" si="20"/>
        <v>100</v>
      </c>
      <c r="N29" s="183">
        <f t="shared" si="20"/>
        <v>100</v>
      </c>
      <c r="O29" s="183">
        <f t="shared" si="20"/>
        <v>561</v>
      </c>
      <c r="P29" s="183">
        <f t="shared" si="20"/>
        <v>561</v>
      </c>
      <c r="Q29" s="282"/>
      <c r="R29" s="283">
        <f aca="true" t="shared" si="21" ref="R29:AC29">R28</f>
        <v>775</v>
      </c>
      <c r="S29" s="283">
        <f t="shared" si="21"/>
        <v>775</v>
      </c>
      <c r="T29" s="283">
        <f t="shared" si="21"/>
        <v>775</v>
      </c>
      <c r="U29" s="283">
        <f t="shared" si="21"/>
        <v>775</v>
      </c>
      <c r="V29" s="283">
        <f t="shared" si="21"/>
        <v>0</v>
      </c>
      <c r="W29" s="283">
        <f t="shared" si="21"/>
        <v>0</v>
      </c>
      <c r="X29" s="283">
        <f t="shared" si="21"/>
        <v>0</v>
      </c>
      <c r="Y29" s="283">
        <f t="shared" si="21"/>
        <v>0</v>
      </c>
      <c r="Z29" s="283">
        <f t="shared" si="21"/>
        <v>100</v>
      </c>
      <c r="AA29" s="283">
        <f t="shared" si="21"/>
        <v>100</v>
      </c>
      <c r="AB29" s="283">
        <f t="shared" si="21"/>
        <v>561</v>
      </c>
      <c r="AC29" s="283">
        <f t="shared" si="21"/>
        <v>561</v>
      </c>
      <c r="AD29" s="274"/>
      <c r="AE29" s="183">
        <f>AE30</f>
        <v>4988</v>
      </c>
      <c r="AF29" s="183">
        <f aca="true" t="shared" si="22" ref="AF29:AP29">AF30</f>
        <v>4988</v>
      </c>
      <c r="AG29" s="183">
        <f t="shared" si="22"/>
        <v>2886</v>
      </c>
      <c r="AH29" s="183">
        <f t="shared" si="22"/>
        <v>2886</v>
      </c>
      <c r="AI29" s="183">
        <f t="shared" si="22"/>
        <v>0</v>
      </c>
      <c r="AJ29" s="183">
        <f t="shared" si="22"/>
        <v>0</v>
      </c>
      <c r="AK29" s="183">
        <f t="shared" si="22"/>
        <v>0</v>
      </c>
      <c r="AL29" s="183">
        <f t="shared" si="22"/>
        <v>0</v>
      </c>
      <c r="AM29" s="183">
        <f t="shared" si="22"/>
        <v>0</v>
      </c>
      <c r="AN29" s="183">
        <f t="shared" si="22"/>
        <v>0</v>
      </c>
      <c r="AO29" s="183">
        <f t="shared" si="22"/>
        <v>2886</v>
      </c>
      <c r="AP29" s="183">
        <f t="shared" si="22"/>
        <v>2886</v>
      </c>
      <c r="AQ29" s="184"/>
      <c r="AR29" s="45"/>
      <c r="AS29" s="45"/>
      <c r="AT29" s="51"/>
      <c r="AU29" s="51"/>
      <c r="AV29" s="51"/>
      <c r="AW29" s="51"/>
      <c r="AX29" s="51"/>
      <c r="AY29" s="51"/>
      <c r="AZ29" s="51"/>
      <c r="BA29" s="51"/>
      <c r="BB29" s="51"/>
    </row>
    <row r="30" spans="1:54" s="47" customFormat="1" ht="53.25" customHeight="1">
      <c r="A30" s="188" t="s">
        <v>5</v>
      </c>
      <c r="B30" s="187" t="s">
        <v>273</v>
      </c>
      <c r="C30" s="188" t="s">
        <v>42</v>
      </c>
      <c r="D30" s="188"/>
      <c r="E30" s="86"/>
      <c r="F30" s="86"/>
      <c r="G30" s="86"/>
      <c r="H30" s="86"/>
      <c r="I30" s="86"/>
      <c r="J30" s="86"/>
      <c r="K30" s="86"/>
      <c r="L30" s="86"/>
      <c r="M30" s="86"/>
      <c r="N30" s="86"/>
      <c r="O30" s="86"/>
      <c r="P30" s="86"/>
      <c r="Q30" s="188"/>
      <c r="R30" s="86"/>
      <c r="S30" s="86"/>
      <c r="T30" s="86"/>
      <c r="U30" s="86"/>
      <c r="V30" s="86"/>
      <c r="W30" s="86"/>
      <c r="X30" s="86"/>
      <c r="Y30" s="86"/>
      <c r="Z30" s="86"/>
      <c r="AA30" s="86"/>
      <c r="AB30" s="86"/>
      <c r="AC30" s="86"/>
      <c r="AD30" s="188" t="s">
        <v>274</v>
      </c>
      <c r="AE30" s="86">
        <v>4988</v>
      </c>
      <c r="AF30" s="86">
        <v>4988</v>
      </c>
      <c r="AG30" s="86">
        <v>2886</v>
      </c>
      <c r="AH30" s="86">
        <v>2886</v>
      </c>
      <c r="AI30" s="86"/>
      <c r="AJ30" s="86"/>
      <c r="AK30" s="86"/>
      <c r="AL30" s="86"/>
      <c r="AM30" s="86"/>
      <c r="AN30" s="86"/>
      <c r="AO30" s="86">
        <v>2886</v>
      </c>
      <c r="AP30" s="86">
        <v>2886</v>
      </c>
      <c r="AQ30" s="190"/>
      <c r="AT30" s="298"/>
      <c r="AU30" s="298"/>
      <c r="AV30" s="298"/>
      <c r="AW30" s="298"/>
      <c r="AX30" s="298"/>
      <c r="AY30" s="298"/>
      <c r="AZ30" s="298"/>
      <c r="BA30" s="298"/>
      <c r="BB30" s="298"/>
    </row>
    <row r="31" spans="1:54" s="97" customFormat="1" ht="37.5" customHeight="1">
      <c r="A31" s="265">
        <v>3</v>
      </c>
      <c r="B31" s="185" t="s">
        <v>230</v>
      </c>
      <c r="C31" s="265"/>
      <c r="D31" s="265"/>
      <c r="E31" s="183" t="e">
        <f aca="true" t="shared" si="23" ref="E31:AC31">E32+E33</f>
        <v>#REF!</v>
      </c>
      <c r="F31" s="183" t="e">
        <f t="shared" si="23"/>
        <v>#REF!</v>
      </c>
      <c r="G31" s="183" t="e">
        <f t="shared" si="23"/>
        <v>#REF!</v>
      </c>
      <c r="H31" s="183" t="e">
        <f t="shared" si="23"/>
        <v>#REF!</v>
      </c>
      <c r="I31" s="183" t="e">
        <f t="shared" si="23"/>
        <v>#REF!</v>
      </c>
      <c r="J31" s="183" t="e">
        <f t="shared" si="23"/>
        <v>#REF!</v>
      </c>
      <c r="K31" s="183" t="e">
        <f t="shared" si="23"/>
        <v>#REF!</v>
      </c>
      <c r="L31" s="183" t="e">
        <f t="shared" si="23"/>
        <v>#REF!</v>
      </c>
      <c r="M31" s="183" t="e">
        <f t="shared" si="23"/>
        <v>#REF!</v>
      </c>
      <c r="N31" s="183" t="e">
        <f t="shared" si="23"/>
        <v>#REF!</v>
      </c>
      <c r="O31" s="183" t="e">
        <f>O32+O33</f>
        <v>#REF!</v>
      </c>
      <c r="P31" s="183" t="e">
        <f>P32+P33</f>
        <v>#REF!</v>
      </c>
      <c r="Q31" s="282"/>
      <c r="R31" s="283" t="e">
        <f aca="true" t="shared" si="24" ref="R31:AA31">R32+R33</f>
        <v>#REF!</v>
      </c>
      <c r="S31" s="283" t="e">
        <f t="shared" si="24"/>
        <v>#REF!</v>
      </c>
      <c r="T31" s="283" t="e">
        <f t="shared" si="24"/>
        <v>#REF!</v>
      </c>
      <c r="U31" s="283" t="e">
        <f t="shared" si="24"/>
        <v>#REF!</v>
      </c>
      <c r="V31" s="283" t="e">
        <f t="shared" si="24"/>
        <v>#REF!</v>
      </c>
      <c r="W31" s="283" t="e">
        <f t="shared" si="24"/>
        <v>#REF!</v>
      </c>
      <c r="X31" s="283" t="e">
        <f t="shared" si="24"/>
        <v>#REF!</v>
      </c>
      <c r="Y31" s="283" t="e">
        <f t="shared" si="24"/>
        <v>#REF!</v>
      </c>
      <c r="Z31" s="283" t="e">
        <f t="shared" si="24"/>
        <v>#REF!</v>
      </c>
      <c r="AA31" s="283" t="e">
        <f t="shared" si="24"/>
        <v>#REF!</v>
      </c>
      <c r="AB31" s="283" t="e">
        <f t="shared" si="23"/>
        <v>#REF!</v>
      </c>
      <c r="AC31" s="283" t="e">
        <f t="shared" si="23"/>
        <v>#REF!</v>
      </c>
      <c r="AD31" s="274"/>
      <c r="AE31" s="183">
        <f aca="true" t="shared" si="25" ref="AE31:AP31">AE32+AE33</f>
        <v>37750.04</v>
      </c>
      <c r="AF31" s="183">
        <f t="shared" si="25"/>
        <v>37750.04</v>
      </c>
      <c r="AG31" s="183">
        <f t="shared" si="25"/>
        <v>15000</v>
      </c>
      <c r="AH31" s="183">
        <f t="shared" si="25"/>
        <v>15000</v>
      </c>
      <c r="AI31" s="183">
        <f t="shared" si="25"/>
        <v>0</v>
      </c>
      <c r="AJ31" s="183">
        <f t="shared" si="25"/>
        <v>0</v>
      </c>
      <c r="AK31" s="183">
        <f t="shared" si="25"/>
        <v>0</v>
      </c>
      <c r="AL31" s="183">
        <f t="shared" si="25"/>
        <v>0</v>
      </c>
      <c r="AM31" s="183">
        <f t="shared" si="25"/>
        <v>10000</v>
      </c>
      <c r="AN31" s="183">
        <f t="shared" si="25"/>
        <v>10000</v>
      </c>
      <c r="AO31" s="183">
        <f t="shared" si="25"/>
        <v>5000</v>
      </c>
      <c r="AP31" s="183">
        <f t="shared" si="25"/>
        <v>5000</v>
      </c>
      <c r="AQ31" s="184"/>
      <c r="AR31" s="27"/>
      <c r="AS31" s="27"/>
      <c r="AT31" s="91"/>
      <c r="AU31" s="96"/>
      <c r="AV31" s="96"/>
      <c r="AW31" s="96"/>
      <c r="AX31" s="96"/>
      <c r="AY31" s="96"/>
      <c r="AZ31" s="96"/>
      <c r="BA31" s="96"/>
      <c r="BB31" s="96"/>
    </row>
    <row r="32" spans="1:54" s="54" customFormat="1" ht="36" customHeight="1">
      <c r="A32" s="265" t="s">
        <v>233</v>
      </c>
      <c r="B32" s="185" t="s">
        <v>40</v>
      </c>
      <c r="C32" s="265"/>
      <c r="D32" s="265"/>
      <c r="E32" s="183">
        <v>0</v>
      </c>
      <c r="F32" s="183">
        <v>0</v>
      </c>
      <c r="G32" s="183">
        <v>0</v>
      </c>
      <c r="H32" s="183">
        <v>0</v>
      </c>
      <c r="I32" s="183">
        <v>0</v>
      </c>
      <c r="J32" s="183">
        <v>0</v>
      </c>
      <c r="K32" s="183">
        <v>0</v>
      </c>
      <c r="L32" s="183">
        <v>0</v>
      </c>
      <c r="M32" s="183">
        <v>0</v>
      </c>
      <c r="N32" s="183">
        <v>0</v>
      </c>
      <c r="O32" s="183">
        <v>0</v>
      </c>
      <c r="P32" s="183">
        <v>0</v>
      </c>
      <c r="Q32" s="282"/>
      <c r="R32" s="283">
        <v>0</v>
      </c>
      <c r="S32" s="283">
        <v>0</v>
      </c>
      <c r="T32" s="283">
        <v>0</v>
      </c>
      <c r="U32" s="283">
        <v>0</v>
      </c>
      <c r="V32" s="283">
        <v>0</v>
      </c>
      <c r="W32" s="283">
        <v>0</v>
      </c>
      <c r="X32" s="283">
        <v>0</v>
      </c>
      <c r="Y32" s="283">
        <v>0</v>
      </c>
      <c r="Z32" s="283">
        <v>0</v>
      </c>
      <c r="AA32" s="283">
        <v>0</v>
      </c>
      <c r="AB32" s="283">
        <v>0</v>
      </c>
      <c r="AC32" s="283">
        <v>0</v>
      </c>
      <c r="AD32" s="274"/>
      <c r="AE32" s="183">
        <v>0</v>
      </c>
      <c r="AF32" s="183">
        <v>0</v>
      </c>
      <c r="AG32" s="183">
        <v>0</v>
      </c>
      <c r="AH32" s="183">
        <v>0</v>
      </c>
      <c r="AI32" s="183">
        <v>0</v>
      </c>
      <c r="AJ32" s="183">
        <v>0</v>
      </c>
      <c r="AK32" s="183">
        <v>0</v>
      </c>
      <c r="AL32" s="183">
        <v>0</v>
      </c>
      <c r="AM32" s="183">
        <v>0</v>
      </c>
      <c r="AN32" s="183">
        <v>0</v>
      </c>
      <c r="AO32" s="183">
        <v>0</v>
      </c>
      <c r="AP32" s="183">
        <v>0</v>
      </c>
      <c r="AQ32" s="184"/>
      <c r="AR32" s="45"/>
      <c r="AS32" s="45"/>
      <c r="AT32" s="51"/>
      <c r="AU32" s="51"/>
      <c r="AV32" s="51"/>
      <c r="AW32" s="51"/>
      <c r="AX32" s="51"/>
      <c r="AY32" s="51"/>
      <c r="AZ32" s="51"/>
      <c r="BA32" s="51"/>
      <c r="BB32" s="51"/>
    </row>
    <row r="33" spans="1:54" s="54" customFormat="1" ht="36" customHeight="1">
      <c r="A33" s="265" t="s">
        <v>234</v>
      </c>
      <c r="B33" s="185" t="s">
        <v>43</v>
      </c>
      <c r="C33" s="265"/>
      <c r="D33" s="265"/>
      <c r="E33" s="183" t="e">
        <f>E34+#REF!</f>
        <v>#REF!</v>
      </c>
      <c r="F33" s="183" t="e">
        <f>F34+#REF!</f>
        <v>#REF!</v>
      </c>
      <c r="G33" s="183" t="e">
        <f>G34+#REF!</f>
        <v>#REF!</v>
      </c>
      <c r="H33" s="183" t="e">
        <f>H34+#REF!</f>
        <v>#REF!</v>
      </c>
      <c r="I33" s="183" t="e">
        <f>I34+#REF!</f>
        <v>#REF!</v>
      </c>
      <c r="J33" s="183" t="e">
        <f>J34+#REF!</f>
        <v>#REF!</v>
      </c>
      <c r="K33" s="183" t="e">
        <f>K34+#REF!</f>
        <v>#REF!</v>
      </c>
      <c r="L33" s="183" t="e">
        <f>L34+#REF!</f>
        <v>#REF!</v>
      </c>
      <c r="M33" s="183" t="e">
        <f>M34+#REF!</f>
        <v>#REF!</v>
      </c>
      <c r="N33" s="183" t="e">
        <f>N34+#REF!</f>
        <v>#REF!</v>
      </c>
      <c r="O33" s="183" t="e">
        <f>O34+#REF!</f>
        <v>#REF!</v>
      </c>
      <c r="P33" s="183" t="e">
        <f>P34+#REF!</f>
        <v>#REF!</v>
      </c>
      <c r="Q33" s="282"/>
      <c r="R33" s="283" t="e">
        <f>R34+#REF!</f>
        <v>#REF!</v>
      </c>
      <c r="S33" s="283" t="e">
        <f>S34+#REF!</f>
        <v>#REF!</v>
      </c>
      <c r="T33" s="283" t="e">
        <f>T34+#REF!</f>
        <v>#REF!</v>
      </c>
      <c r="U33" s="283" t="e">
        <f>U34+#REF!</f>
        <v>#REF!</v>
      </c>
      <c r="V33" s="283" t="e">
        <f>V34+#REF!</f>
        <v>#REF!</v>
      </c>
      <c r="W33" s="283" t="e">
        <f>W34+#REF!</f>
        <v>#REF!</v>
      </c>
      <c r="X33" s="283" t="e">
        <f>X34+#REF!</f>
        <v>#REF!</v>
      </c>
      <c r="Y33" s="283" t="e">
        <f>Y34+#REF!</f>
        <v>#REF!</v>
      </c>
      <c r="Z33" s="283" t="e">
        <f>Z34+#REF!</f>
        <v>#REF!</v>
      </c>
      <c r="AA33" s="283" t="e">
        <f>AA34+#REF!</f>
        <v>#REF!</v>
      </c>
      <c r="AB33" s="283" t="e">
        <f>AB34+#REF!</f>
        <v>#REF!</v>
      </c>
      <c r="AC33" s="283" t="e">
        <f>AC34+#REF!</f>
        <v>#REF!</v>
      </c>
      <c r="AD33" s="274"/>
      <c r="AE33" s="183">
        <f>AE34</f>
        <v>37750.04</v>
      </c>
      <c r="AF33" s="183">
        <f aca="true" t="shared" si="26" ref="AF33:AP33">AF34</f>
        <v>37750.04</v>
      </c>
      <c r="AG33" s="183">
        <f t="shared" si="26"/>
        <v>15000</v>
      </c>
      <c r="AH33" s="183">
        <f t="shared" si="26"/>
        <v>15000</v>
      </c>
      <c r="AI33" s="183">
        <f t="shared" si="26"/>
        <v>0</v>
      </c>
      <c r="AJ33" s="183">
        <f t="shared" si="26"/>
        <v>0</v>
      </c>
      <c r="AK33" s="183">
        <f t="shared" si="26"/>
        <v>0</v>
      </c>
      <c r="AL33" s="183">
        <f t="shared" si="26"/>
        <v>0</v>
      </c>
      <c r="AM33" s="183">
        <f t="shared" si="26"/>
        <v>10000</v>
      </c>
      <c r="AN33" s="183">
        <f t="shared" si="26"/>
        <v>10000</v>
      </c>
      <c r="AO33" s="183">
        <f t="shared" si="26"/>
        <v>5000</v>
      </c>
      <c r="AP33" s="183">
        <f t="shared" si="26"/>
        <v>5000</v>
      </c>
      <c r="AQ33" s="184"/>
      <c r="AR33" s="45"/>
      <c r="AS33" s="45"/>
      <c r="AT33" s="51"/>
      <c r="AU33" s="51"/>
      <c r="AV33" s="51"/>
      <c r="AW33" s="51"/>
      <c r="AX33" s="51"/>
      <c r="AY33" s="51"/>
      <c r="AZ33" s="51"/>
      <c r="BA33" s="51"/>
      <c r="BB33" s="51"/>
    </row>
    <row r="34" spans="1:54" s="54" customFormat="1" ht="46.5" customHeight="1">
      <c r="A34" s="265" t="s">
        <v>18</v>
      </c>
      <c r="B34" s="185" t="s">
        <v>272</v>
      </c>
      <c r="C34" s="265"/>
      <c r="D34" s="265"/>
      <c r="E34" s="183">
        <v>0</v>
      </c>
      <c r="F34" s="183">
        <v>0</v>
      </c>
      <c r="G34" s="183">
        <v>0</v>
      </c>
      <c r="H34" s="183">
        <v>0</v>
      </c>
      <c r="I34" s="183">
        <v>0</v>
      </c>
      <c r="J34" s="183">
        <v>0</v>
      </c>
      <c r="K34" s="183">
        <v>0</v>
      </c>
      <c r="L34" s="183">
        <v>0</v>
      </c>
      <c r="M34" s="183">
        <v>0</v>
      </c>
      <c r="N34" s="183">
        <v>0</v>
      </c>
      <c r="O34" s="183">
        <v>0</v>
      </c>
      <c r="P34" s="183">
        <v>0</v>
      </c>
      <c r="Q34" s="282"/>
      <c r="R34" s="283">
        <v>0</v>
      </c>
      <c r="S34" s="283">
        <v>0</v>
      </c>
      <c r="T34" s="283">
        <v>0</v>
      </c>
      <c r="U34" s="283">
        <v>0</v>
      </c>
      <c r="V34" s="283">
        <v>0</v>
      </c>
      <c r="W34" s="283">
        <v>0</v>
      </c>
      <c r="X34" s="283">
        <v>0</v>
      </c>
      <c r="Y34" s="283">
        <v>0</v>
      </c>
      <c r="Z34" s="283">
        <v>0</v>
      </c>
      <c r="AA34" s="283">
        <v>0</v>
      </c>
      <c r="AB34" s="283">
        <v>0</v>
      </c>
      <c r="AC34" s="283">
        <v>0</v>
      </c>
      <c r="AD34" s="274"/>
      <c r="AE34" s="183">
        <f>AE35</f>
        <v>37750.04</v>
      </c>
      <c r="AF34" s="183">
        <f aca="true" t="shared" si="27" ref="AF34:AP34">AF35</f>
        <v>37750.04</v>
      </c>
      <c r="AG34" s="183">
        <f t="shared" si="27"/>
        <v>15000</v>
      </c>
      <c r="AH34" s="183">
        <f t="shared" si="27"/>
        <v>15000</v>
      </c>
      <c r="AI34" s="183">
        <f t="shared" si="27"/>
        <v>0</v>
      </c>
      <c r="AJ34" s="183">
        <f t="shared" si="27"/>
        <v>0</v>
      </c>
      <c r="AK34" s="183">
        <f t="shared" si="27"/>
        <v>0</v>
      </c>
      <c r="AL34" s="183">
        <f t="shared" si="27"/>
        <v>0</v>
      </c>
      <c r="AM34" s="183">
        <f t="shared" si="27"/>
        <v>10000</v>
      </c>
      <c r="AN34" s="183">
        <f t="shared" si="27"/>
        <v>10000</v>
      </c>
      <c r="AO34" s="183">
        <f t="shared" si="27"/>
        <v>5000</v>
      </c>
      <c r="AP34" s="183">
        <f t="shared" si="27"/>
        <v>5000</v>
      </c>
      <c r="AQ34" s="184"/>
      <c r="AR34" s="45"/>
      <c r="AS34" s="45"/>
      <c r="AT34" s="51"/>
      <c r="AU34" s="51"/>
      <c r="AV34" s="51"/>
      <c r="AW34" s="51"/>
      <c r="AX34" s="51"/>
      <c r="AY34" s="51"/>
      <c r="AZ34" s="51"/>
      <c r="BA34" s="51"/>
      <c r="BB34" s="51"/>
    </row>
    <row r="35" spans="1:54" s="58" customFormat="1" ht="82.5" customHeight="1">
      <c r="A35" s="192" t="s">
        <v>5</v>
      </c>
      <c r="B35" s="187" t="s">
        <v>237</v>
      </c>
      <c r="C35" s="188" t="s">
        <v>42</v>
      </c>
      <c r="D35" s="188"/>
      <c r="E35" s="86"/>
      <c r="F35" s="86">
        <f>E35</f>
        <v>0</v>
      </c>
      <c r="G35" s="86"/>
      <c r="H35" s="86"/>
      <c r="I35" s="86">
        <v>0</v>
      </c>
      <c r="J35" s="86">
        <v>0</v>
      </c>
      <c r="K35" s="86">
        <v>0</v>
      </c>
      <c r="L35" s="86">
        <v>0</v>
      </c>
      <c r="M35" s="86">
        <v>0</v>
      </c>
      <c r="N35" s="86">
        <v>0</v>
      </c>
      <c r="O35" s="86">
        <v>0</v>
      </c>
      <c r="P35" s="86">
        <v>0</v>
      </c>
      <c r="Q35" s="286" t="s">
        <v>179</v>
      </c>
      <c r="R35" s="285">
        <v>37750.04</v>
      </c>
      <c r="S35" s="285">
        <f>R35</f>
        <v>37750.04</v>
      </c>
      <c r="T35" s="285">
        <v>15000</v>
      </c>
      <c r="U35" s="285">
        <v>15000</v>
      </c>
      <c r="V35" s="285">
        <v>0</v>
      </c>
      <c r="W35" s="285">
        <v>0</v>
      </c>
      <c r="X35" s="285">
        <v>0</v>
      </c>
      <c r="Y35" s="285">
        <v>0</v>
      </c>
      <c r="Z35" s="285">
        <v>0</v>
      </c>
      <c r="AA35" s="285">
        <v>0</v>
      </c>
      <c r="AB35" s="285">
        <v>10000</v>
      </c>
      <c r="AC35" s="285">
        <v>10000</v>
      </c>
      <c r="AD35" s="188" t="s">
        <v>179</v>
      </c>
      <c r="AE35" s="86">
        <v>37750.04</v>
      </c>
      <c r="AF35" s="86">
        <f>AE35</f>
        <v>37750.04</v>
      </c>
      <c r="AG35" s="86">
        <v>15000</v>
      </c>
      <c r="AH35" s="86">
        <v>15000</v>
      </c>
      <c r="AI35" s="86">
        <v>0</v>
      </c>
      <c r="AJ35" s="86">
        <v>0</v>
      </c>
      <c r="AK35" s="86">
        <v>0</v>
      </c>
      <c r="AL35" s="86">
        <v>0</v>
      </c>
      <c r="AM35" s="86">
        <v>10000</v>
      </c>
      <c r="AN35" s="86">
        <v>10000</v>
      </c>
      <c r="AO35" s="86">
        <v>5000</v>
      </c>
      <c r="AP35" s="86">
        <v>5000</v>
      </c>
      <c r="AQ35" s="190"/>
      <c r="AR35" s="73" t="s">
        <v>107</v>
      </c>
      <c r="AS35" s="73"/>
      <c r="AT35" s="253"/>
      <c r="AU35" s="253"/>
      <c r="AV35" s="253"/>
      <c r="AW35" s="253"/>
      <c r="AX35" s="253"/>
      <c r="AY35" s="253"/>
      <c r="AZ35" s="253"/>
      <c r="BA35" s="253"/>
      <c r="BB35" s="253"/>
    </row>
    <row r="36" spans="1:54" s="97" customFormat="1" ht="33.75" customHeight="1">
      <c r="A36" s="265" t="s">
        <v>6</v>
      </c>
      <c r="B36" s="185" t="s">
        <v>155</v>
      </c>
      <c r="C36" s="265"/>
      <c r="D36" s="265"/>
      <c r="E36" s="183" t="e">
        <f aca="true" t="shared" si="28" ref="E36:P36">E37+E38+E53</f>
        <v>#REF!</v>
      </c>
      <c r="F36" s="183" t="e">
        <f t="shared" si="28"/>
        <v>#REF!</v>
      </c>
      <c r="G36" s="183" t="e">
        <f t="shared" si="28"/>
        <v>#REF!</v>
      </c>
      <c r="H36" s="183" t="e">
        <f t="shared" si="28"/>
        <v>#REF!</v>
      </c>
      <c r="I36" s="183" t="e">
        <f t="shared" si="28"/>
        <v>#REF!</v>
      </c>
      <c r="J36" s="183" t="e">
        <f t="shared" si="28"/>
        <v>#REF!</v>
      </c>
      <c r="K36" s="183" t="e">
        <f t="shared" si="28"/>
        <v>#REF!</v>
      </c>
      <c r="L36" s="183" t="e">
        <f t="shared" si="28"/>
        <v>#REF!</v>
      </c>
      <c r="M36" s="183" t="e">
        <f t="shared" si="28"/>
        <v>#REF!</v>
      </c>
      <c r="N36" s="183" t="e">
        <f t="shared" si="28"/>
        <v>#REF!</v>
      </c>
      <c r="O36" s="183" t="e">
        <f t="shared" si="28"/>
        <v>#REF!</v>
      </c>
      <c r="P36" s="183" t="e">
        <f t="shared" si="28"/>
        <v>#REF!</v>
      </c>
      <c r="Q36" s="282"/>
      <c r="R36" s="283" t="e">
        <f aca="true" t="shared" si="29" ref="R36:AD36">R37+R38+R53+R56</f>
        <v>#REF!</v>
      </c>
      <c r="S36" s="283" t="e">
        <f t="shared" si="29"/>
        <v>#REF!</v>
      </c>
      <c r="T36" s="283" t="e">
        <f t="shared" si="29"/>
        <v>#REF!</v>
      </c>
      <c r="U36" s="283" t="e">
        <f t="shared" si="29"/>
        <v>#REF!</v>
      </c>
      <c r="V36" s="283" t="e">
        <f t="shared" si="29"/>
        <v>#REF!</v>
      </c>
      <c r="W36" s="283" t="e">
        <f t="shared" si="29"/>
        <v>#REF!</v>
      </c>
      <c r="X36" s="283" t="e">
        <f t="shared" si="29"/>
        <v>#REF!</v>
      </c>
      <c r="Y36" s="283" t="e">
        <f t="shared" si="29"/>
        <v>#REF!</v>
      </c>
      <c r="Z36" s="283" t="e">
        <f t="shared" si="29"/>
        <v>#REF!</v>
      </c>
      <c r="AA36" s="283" t="e">
        <f t="shared" si="29"/>
        <v>#REF!</v>
      </c>
      <c r="AB36" s="283" t="e">
        <f t="shared" si="29"/>
        <v>#REF!</v>
      </c>
      <c r="AC36" s="283" t="e">
        <f t="shared" si="29"/>
        <v>#REF!</v>
      </c>
      <c r="AD36" s="183">
        <f t="shared" si="29"/>
        <v>0</v>
      </c>
      <c r="AE36" s="183">
        <f aca="true" t="shared" si="30" ref="AE36:AN36">AE37+AE38</f>
        <v>323802.36100000003</v>
      </c>
      <c r="AF36" s="183">
        <f t="shared" si="30"/>
        <v>323802.36100000003</v>
      </c>
      <c r="AG36" s="183">
        <f t="shared" si="30"/>
        <v>225290.671</v>
      </c>
      <c r="AH36" s="183">
        <f t="shared" si="30"/>
        <v>225290.671</v>
      </c>
      <c r="AI36" s="183">
        <f t="shared" si="30"/>
        <v>0</v>
      </c>
      <c r="AJ36" s="183">
        <f t="shared" si="30"/>
        <v>0</v>
      </c>
      <c r="AK36" s="183">
        <f t="shared" si="30"/>
        <v>1600</v>
      </c>
      <c r="AL36" s="183">
        <f t="shared" si="30"/>
        <v>1600</v>
      </c>
      <c r="AM36" s="183">
        <f t="shared" si="30"/>
        <v>0</v>
      </c>
      <c r="AN36" s="183">
        <f t="shared" si="30"/>
        <v>0</v>
      </c>
      <c r="AO36" s="183">
        <f>AO37+AO38</f>
        <v>30291</v>
      </c>
      <c r="AP36" s="183">
        <f>AP37+AP38</f>
        <v>30291</v>
      </c>
      <c r="AQ36" s="184"/>
      <c r="AR36" s="27"/>
      <c r="AS36" s="27"/>
      <c r="AT36" s="96"/>
      <c r="AU36" s="96"/>
      <c r="AV36" s="96"/>
      <c r="AW36" s="96"/>
      <c r="AX36" s="96"/>
      <c r="AY36" s="96"/>
      <c r="AZ36" s="96"/>
      <c r="BA36" s="96"/>
      <c r="BB36" s="96"/>
    </row>
    <row r="37" spans="1:54" s="54" customFormat="1" ht="82.5" customHeight="1">
      <c r="A37" s="265">
        <v>1</v>
      </c>
      <c r="B37" s="185" t="s">
        <v>283</v>
      </c>
      <c r="C37" s="265" t="s">
        <v>50</v>
      </c>
      <c r="D37" s="265"/>
      <c r="E37" s="183">
        <v>468</v>
      </c>
      <c r="F37" s="183">
        <v>468</v>
      </c>
      <c r="G37" s="183">
        <v>468</v>
      </c>
      <c r="H37" s="183">
        <v>468</v>
      </c>
      <c r="I37" s="183">
        <v>0</v>
      </c>
      <c r="J37" s="183">
        <v>0</v>
      </c>
      <c r="K37" s="183">
        <v>100</v>
      </c>
      <c r="L37" s="183">
        <v>100</v>
      </c>
      <c r="M37" s="183">
        <v>143</v>
      </c>
      <c r="N37" s="183">
        <v>143</v>
      </c>
      <c r="O37" s="183">
        <v>100</v>
      </c>
      <c r="P37" s="183">
        <v>100</v>
      </c>
      <c r="Q37" s="282"/>
      <c r="R37" s="283">
        <v>468</v>
      </c>
      <c r="S37" s="283">
        <v>468</v>
      </c>
      <c r="T37" s="283">
        <v>468</v>
      </c>
      <c r="U37" s="283">
        <v>468</v>
      </c>
      <c r="V37" s="283">
        <v>0</v>
      </c>
      <c r="W37" s="283">
        <v>0</v>
      </c>
      <c r="X37" s="283">
        <v>100</v>
      </c>
      <c r="Y37" s="283">
        <v>100</v>
      </c>
      <c r="Z37" s="283">
        <v>143</v>
      </c>
      <c r="AA37" s="283">
        <v>143</v>
      </c>
      <c r="AB37" s="283">
        <v>100</v>
      </c>
      <c r="AC37" s="283">
        <v>100</v>
      </c>
      <c r="AD37" s="274"/>
      <c r="AE37" s="183"/>
      <c r="AF37" s="183"/>
      <c r="AG37" s="183"/>
      <c r="AH37" s="183"/>
      <c r="AI37" s="183">
        <v>0</v>
      </c>
      <c r="AJ37" s="183">
        <v>0</v>
      </c>
      <c r="AK37" s="183">
        <v>100</v>
      </c>
      <c r="AL37" s="183">
        <v>100</v>
      </c>
      <c r="AM37" s="183"/>
      <c r="AN37" s="183"/>
      <c r="AO37" s="183">
        <v>291</v>
      </c>
      <c r="AP37" s="183">
        <v>291</v>
      </c>
      <c r="AQ37" s="190"/>
      <c r="AR37" s="45"/>
      <c r="AS37" s="45"/>
      <c r="AT37" s="51"/>
      <c r="AU37" s="51"/>
      <c r="AV37" s="51"/>
      <c r="AW37" s="51"/>
      <c r="AX37" s="51"/>
      <c r="AY37" s="51"/>
      <c r="AZ37" s="51"/>
      <c r="BA37" s="51"/>
      <c r="BB37" s="51"/>
    </row>
    <row r="38" spans="1:54" s="54" customFormat="1" ht="102" customHeight="1">
      <c r="A38" s="265">
        <v>2</v>
      </c>
      <c r="B38" s="185" t="s">
        <v>184</v>
      </c>
      <c r="C38" s="265"/>
      <c r="D38" s="265"/>
      <c r="E38" s="183" t="e">
        <f>#REF!+#REF!+E40</f>
        <v>#REF!</v>
      </c>
      <c r="F38" s="183" t="e">
        <f>#REF!+#REF!+F40</f>
        <v>#REF!</v>
      </c>
      <c r="G38" s="183" t="e">
        <f>#REF!+#REF!+G40</f>
        <v>#REF!</v>
      </c>
      <c r="H38" s="183" t="e">
        <f>#REF!+#REF!+H40</f>
        <v>#REF!</v>
      </c>
      <c r="I38" s="183" t="e">
        <f>#REF!+#REF!+I40</f>
        <v>#REF!</v>
      </c>
      <c r="J38" s="183" t="e">
        <f>#REF!+#REF!+J40</f>
        <v>#REF!</v>
      </c>
      <c r="K38" s="183" t="e">
        <f>#REF!+#REF!+K40</f>
        <v>#REF!</v>
      </c>
      <c r="L38" s="183" t="e">
        <f>#REF!+#REF!+L40</f>
        <v>#REF!</v>
      </c>
      <c r="M38" s="183" t="e">
        <f>#REF!+#REF!+M40</f>
        <v>#REF!</v>
      </c>
      <c r="N38" s="183" t="e">
        <f>#REF!+#REF!+N40</f>
        <v>#REF!</v>
      </c>
      <c r="O38" s="183" t="e">
        <f>#REF!+#REF!+O40</f>
        <v>#REF!</v>
      </c>
      <c r="P38" s="183" t="e">
        <f>#REF!+#REF!+P40</f>
        <v>#REF!</v>
      </c>
      <c r="Q38" s="282"/>
      <c r="R38" s="283" t="e">
        <f>#REF!+#REF!+R40</f>
        <v>#REF!</v>
      </c>
      <c r="S38" s="283" t="e">
        <f>#REF!+#REF!+S40</f>
        <v>#REF!</v>
      </c>
      <c r="T38" s="283" t="e">
        <f>#REF!+#REF!+T40</f>
        <v>#REF!</v>
      </c>
      <c r="U38" s="283" t="e">
        <f>#REF!+#REF!+U40</f>
        <v>#REF!</v>
      </c>
      <c r="V38" s="283" t="e">
        <f>#REF!+#REF!+V40</f>
        <v>#REF!</v>
      </c>
      <c r="W38" s="283" t="e">
        <f>#REF!+#REF!+W40</f>
        <v>#REF!</v>
      </c>
      <c r="X38" s="283" t="e">
        <f>#REF!+#REF!+X40</f>
        <v>#REF!</v>
      </c>
      <c r="Y38" s="283" t="e">
        <f>#REF!+#REF!+Y40</f>
        <v>#REF!</v>
      </c>
      <c r="Z38" s="283" t="e">
        <f>#REF!+#REF!+Z40</f>
        <v>#REF!</v>
      </c>
      <c r="AA38" s="283" t="e">
        <f>#REF!+#REF!+AA40</f>
        <v>#REF!</v>
      </c>
      <c r="AB38" s="283" t="e">
        <f>#REF!+#REF!+AB40</f>
        <v>#REF!</v>
      </c>
      <c r="AC38" s="283" t="e">
        <f>#REF!+#REF!+AC40</f>
        <v>#REF!</v>
      </c>
      <c r="AD38" s="274"/>
      <c r="AE38" s="183">
        <f>AE39+AE40+AE53+AE56</f>
        <v>323802.36100000003</v>
      </c>
      <c r="AF38" s="183">
        <f aca="true" t="shared" si="31" ref="AF38:AP38">AF39+AF40+AF53+AF56</f>
        <v>323802.36100000003</v>
      </c>
      <c r="AG38" s="183">
        <f t="shared" si="31"/>
        <v>225290.671</v>
      </c>
      <c r="AH38" s="183">
        <f t="shared" si="31"/>
        <v>225290.671</v>
      </c>
      <c r="AI38" s="183">
        <f t="shared" si="31"/>
        <v>0</v>
      </c>
      <c r="AJ38" s="183">
        <f t="shared" si="31"/>
        <v>0</v>
      </c>
      <c r="AK38" s="183">
        <f t="shared" si="31"/>
        <v>1500</v>
      </c>
      <c r="AL38" s="183">
        <f t="shared" si="31"/>
        <v>1500</v>
      </c>
      <c r="AM38" s="183">
        <f t="shared" si="31"/>
        <v>0</v>
      </c>
      <c r="AN38" s="183">
        <f t="shared" si="31"/>
        <v>0</v>
      </c>
      <c r="AO38" s="183">
        <f t="shared" si="31"/>
        <v>30000</v>
      </c>
      <c r="AP38" s="183">
        <f t="shared" si="31"/>
        <v>30000</v>
      </c>
      <c r="AQ38" s="184" t="s">
        <v>294</v>
      </c>
      <c r="AR38" s="45"/>
      <c r="AS38" s="45"/>
      <c r="AT38" s="51"/>
      <c r="AU38" s="51"/>
      <c r="AV38" s="51"/>
      <c r="AW38" s="51"/>
      <c r="AX38" s="51"/>
      <c r="AY38" s="51"/>
      <c r="AZ38" s="51"/>
      <c r="BA38" s="51"/>
      <c r="BB38" s="51"/>
    </row>
    <row r="39" spans="1:54" s="54" customFormat="1" ht="40.5" customHeight="1">
      <c r="A39" s="299" t="s">
        <v>45</v>
      </c>
      <c r="B39" s="185" t="s">
        <v>285</v>
      </c>
      <c r="C39" s="299"/>
      <c r="D39" s="299"/>
      <c r="E39" s="183"/>
      <c r="F39" s="183"/>
      <c r="G39" s="183"/>
      <c r="H39" s="183"/>
      <c r="I39" s="183"/>
      <c r="J39" s="183"/>
      <c r="K39" s="183"/>
      <c r="L39" s="183"/>
      <c r="M39" s="183"/>
      <c r="N39" s="183"/>
      <c r="O39" s="183"/>
      <c r="P39" s="183"/>
      <c r="Q39" s="300"/>
      <c r="R39" s="283"/>
      <c r="S39" s="283"/>
      <c r="T39" s="283"/>
      <c r="U39" s="283"/>
      <c r="V39" s="283"/>
      <c r="W39" s="283"/>
      <c r="X39" s="283"/>
      <c r="Y39" s="283"/>
      <c r="Z39" s="283"/>
      <c r="AA39" s="283"/>
      <c r="AB39" s="283"/>
      <c r="AC39" s="283"/>
      <c r="AD39" s="299"/>
      <c r="AE39" s="183"/>
      <c r="AF39" s="183"/>
      <c r="AG39" s="183"/>
      <c r="AH39" s="183"/>
      <c r="AI39" s="183"/>
      <c r="AJ39" s="183"/>
      <c r="AK39" s="183"/>
      <c r="AL39" s="183"/>
      <c r="AM39" s="250"/>
      <c r="AN39" s="250"/>
      <c r="AO39" s="250">
        <v>1365</v>
      </c>
      <c r="AP39" s="250">
        <v>1365</v>
      </c>
      <c r="AQ39" s="184"/>
      <c r="AR39" s="45"/>
      <c r="AS39" s="45"/>
      <c r="AT39" s="51"/>
      <c r="AU39" s="51"/>
      <c r="AV39" s="51"/>
      <c r="AW39" s="51"/>
      <c r="AX39" s="51"/>
      <c r="AY39" s="51"/>
      <c r="AZ39" s="51"/>
      <c r="BA39" s="51"/>
      <c r="BB39" s="51"/>
    </row>
    <row r="40" spans="1:54" s="54" customFormat="1" ht="35.25" customHeight="1">
      <c r="A40" s="299" t="s">
        <v>46</v>
      </c>
      <c r="B40" s="185" t="s">
        <v>185</v>
      </c>
      <c r="C40" s="265"/>
      <c r="D40" s="265"/>
      <c r="E40" s="183" t="e">
        <f aca="true" t="shared" si="32" ref="E40:P40">E41+E46</f>
        <v>#REF!</v>
      </c>
      <c r="F40" s="183" t="e">
        <f t="shared" si="32"/>
        <v>#REF!</v>
      </c>
      <c r="G40" s="183" t="e">
        <f t="shared" si="32"/>
        <v>#REF!</v>
      </c>
      <c r="H40" s="183" t="e">
        <f t="shared" si="32"/>
        <v>#REF!</v>
      </c>
      <c r="I40" s="183" t="e">
        <f t="shared" si="32"/>
        <v>#REF!</v>
      </c>
      <c r="J40" s="183" t="e">
        <f t="shared" si="32"/>
        <v>#REF!</v>
      </c>
      <c r="K40" s="183" t="e">
        <f t="shared" si="32"/>
        <v>#REF!</v>
      </c>
      <c r="L40" s="183" t="e">
        <f t="shared" si="32"/>
        <v>#REF!</v>
      </c>
      <c r="M40" s="183" t="e">
        <f t="shared" si="32"/>
        <v>#REF!</v>
      </c>
      <c r="N40" s="183" t="e">
        <f t="shared" si="32"/>
        <v>#REF!</v>
      </c>
      <c r="O40" s="183" t="e">
        <f t="shared" si="32"/>
        <v>#REF!</v>
      </c>
      <c r="P40" s="183" t="e">
        <f t="shared" si="32"/>
        <v>#REF!</v>
      </c>
      <c r="Q40" s="282"/>
      <c r="R40" s="283" t="e">
        <f aca="true" t="shared" si="33" ref="R40:AC40">R41+R46</f>
        <v>#REF!</v>
      </c>
      <c r="S40" s="283" t="e">
        <f t="shared" si="33"/>
        <v>#REF!</v>
      </c>
      <c r="T40" s="283" t="e">
        <f t="shared" si="33"/>
        <v>#REF!</v>
      </c>
      <c r="U40" s="283" t="e">
        <f t="shared" si="33"/>
        <v>#REF!</v>
      </c>
      <c r="V40" s="283" t="e">
        <f t="shared" si="33"/>
        <v>#REF!</v>
      </c>
      <c r="W40" s="283" t="e">
        <f t="shared" si="33"/>
        <v>#REF!</v>
      </c>
      <c r="X40" s="283" t="e">
        <f t="shared" si="33"/>
        <v>#REF!</v>
      </c>
      <c r="Y40" s="283" t="e">
        <f t="shared" si="33"/>
        <v>#REF!</v>
      </c>
      <c r="Z40" s="283" t="e">
        <f t="shared" si="33"/>
        <v>#REF!</v>
      </c>
      <c r="AA40" s="283" t="e">
        <f t="shared" si="33"/>
        <v>#REF!</v>
      </c>
      <c r="AB40" s="283" t="e">
        <f t="shared" si="33"/>
        <v>#REF!</v>
      </c>
      <c r="AC40" s="283" t="e">
        <f t="shared" si="33"/>
        <v>#REF!</v>
      </c>
      <c r="AD40" s="274"/>
      <c r="AE40" s="183">
        <f>AE41+AE46</f>
        <v>130261.69</v>
      </c>
      <c r="AF40" s="183">
        <f aca="true" t="shared" si="34" ref="AF40:AP40">AF41+AF46</f>
        <v>130261.69</v>
      </c>
      <c r="AG40" s="183">
        <f t="shared" si="34"/>
        <v>31750</v>
      </c>
      <c r="AH40" s="183">
        <f t="shared" si="34"/>
        <v>31750</v>
      </c>
      <c r="AI40" s="183">
        <f t="shared" si="34"/>
        <v>0</v>
      </c>
      <c r="AJ40" s="183">
        <f t="shared" si="34"/>
        <v>0</v>
      </c>
      <c r="AK40" s="183">
        <f t="shared" si="34"/>
        <v>0</v>
      </c>
      <c r="AL40" s="183">
        <f t="shared" si="34"/>
        <v>0</v>
      </c>
      <c r="AM40" s="250">
        <f t="shared" si="34"/>
        <v>0</v>
      </c>
      <c r="AN40" s="250">
        <f t="shared" si="34"/>
        <v>0</v>
      </c>
      <c r="AO40" s="250">
        <f t="shared" si="34"/>
        <v>19695</v>
      </c>
      <c r="AP40" s="250">
        <f t="shared" si="34"/>
        <v>19695</v>
      </c>
      <c r="AQ40" s="184"/>
      <c r="AR40" s="45"/>
      <c r="AS40" s="45"/>
      <c r="AT40" s="51"/>
      <c r="AU40" s="51"/>
      <c r="AV40" s="51"/>
      <c r="AW40" s="51"/>
      <c r="AX40" s="51"/>
      <c r="AY40" s="51"/>
      <c r="AZ40" s="51"/>
      <c r="BA40" s="51"/>
      <c r="BB40" s="51"/>
    </row>
    <row r="41" spans="1:54" s="97" customFormat="1" ht="36.75" customHeight="1">
      <c r="A41" s="249" t="s">
        <v>18</v>
      </c>
      <c r="B41" s="251" t="s">
        <v>40</v>
      </c>
      <c r="C41" s="249"/>
      <c r="D41" s="249"/>
      <c r="E41" s="250" t="e">
        <f>#REF!+#REF!+#REF!</f>
        <v>#REF!</v>
      </c>
      <c r="F41" s="250" t="e">
        <f>#REF!+#REF!+#REF!</f>
        <v>#REF!</v>
      </c>
      <c r="G41" s="250" t="e">
        <f>#REF!+#REF!+#REF!</f>
        <v>#REF!</v>
      </c>
      <c r="H41" s="250" t="e">
        <f>#REF!+#REF!+#REF!</f>
        <v>#REF!</v>
      </c>
      <c r="I41" s="250" t="e">
        <f>#REF!+#REF!+#REF!</f>
        <v>#REF!</v>
      </c>
      <c r="J41" s="250" t="e">
        <f>#REF!+#REF!+#REF!</f>
        <v>#REF!</v>
      </c>
      <c r="K41" s="250" t="e">
        <f>#REF!+#REF!+#REF!</f>
        <v>#REF!</v>
      </c>
      <c r="L41" s="250" t="e">
        <f>#REF!+#REF!+#REF!</f>
        <v>#REF!</v>
      </c>
      <c r="M41" s="250" t="e">
        <f>#REF!+#REF!+#REF!</f>
        <v>#REF!</v>
      </c>
      <c r="N41" s="250" t="e">
        <f>#REF!+#REF!+#REF!</f>
        <v>#REF!</v>
      </c>
      <c r="O41" s="250" t="e">
        <f>#REF!+#REF!+#REF!</f>
        <v>#REF!</v>
      </c>
      <c r="P41" s="250" t="e">
        <f>#REF!+#REF!+#REF!</f>
        <v>#REF!</v>
      </c>
      <c r="Q41" s="287"/>
      <c r="R41" s="288" t="e">
        <f>#REF!+#REF!+#REF!</f>
        <v>#REF!</v>
      </c>
      <c r="S41" s="288" t="e">
        <f>#REF!+#REF!+#REF!</f>
        <v>#REF!</v>
      </c>
      <c r="T41" s="288" t="e">
        <f>#REF!+#REF!+#REF!</f>
        <v>#REF!</v>
      </c>
      <c r="U41" s="288" t="e">
        <f>#REF!+#REF!+#REF!</f>
        <v>#REF!</v>
      </c>
      <c r="V41" s="288" t="e">
        <f>#REF!+#REF!+#REF!</f>
        <v>#REF!</v>
      </c>
      <c r="W41" s="288" t="e">
        <f>#REF!+#REF!+#REF!</f>
        <v>#REF!</v>
      </c>
      <c r="X41" s="288" t="e">
        <f>#REF!+#REF!+#REF!</f>
        <v>#REF!</v>
      </c>
      <c r="Y41" s="288" t="e">
        <f>#REF!+#REF!+#REF!</f>
        <v>#REF!</v>
      </c>
      <c r="Z41" s="288" t="e">
        <f>#REF!+#REF!+#REF!</f>
        <v>#REF!</v>
      </c>
      <c r="AA41" s="288" t="e">
        <f>#REF!+#REF!+#REF!</f>
        <v>#REF!</v>
      </c>
      <c r="AB41" s="288" t="e">
        <f>#REF!+#REF!+#REF!</f>
        <v>#REF!</v>
      </c>
      <c r="AC41" s="288" t="e">
        <f>#REF!+#REF!+#REF!</f>
        <v>#REF!</v>
      </c>
      <c r="AD41" s="249"/>
      <c r="AE41" s="250">
        <f>SUM(AE42:AE45)</f>
        <v>68421</v>
      </c>
      <c r="AF41" s="250">
        <f aca="true" t="shared" si="35" ref="AF41:AP41">SUM(AF42:AF45)</f>
        <v>68421</v>
      </c>
      <c r="AG41" s="250">
        <f t="shared" si="35"/>
        <v>1500</v>
      </c>
      <c r="AH41" s="250">
        <f t="shared" si="35"/>
        <v>1500</v>
      </c>
      <c r="AI41" s="250">
        <f t="shared" si="35"/>
        <v>0</v>
      </c>
      <c r="AJ41" s="250">
        <f t="shared" si="35"/>
        <v>0</v>
      </c>
      <c r="AK41" s="250">
        <f t="shared" si="35"/>
        <v>0</v>
      </c>
      <c r="AL41" s="250">
        <f t="shared" si="35"/>
        <v>0</v>
      </c>
      <c r="AM41" s="250">
        <f t="shared" si="35"/>
        <v>0</v>
      </c>
      <c r="AN41" s="250">
        <f t="shared" si="35"/>
        <v>0</v>
      </c>
      <c r="AO41" s="250">
        <f t="shared" si="35"/>
        <v>3000</v>
      </c>
      <c r="AP41" s="250">
        <f t="shared" si="35"/>
        <v>3000</v>
      </c>
      <c r="AQ41" s="184"/>
      <c r="AR41" s="27"/>
      <c r="AS41" s="27"/>
      <c r="AT41" s="96"/>
      <c r="AU41" s="96"/>
      <c r="AV41" s="96"/>
      <c r="AW41" s="96"/>
      <c r="AX41" s="96"/>
      <c r="AY41" s="96"/>
      <c r="AZ41" s="96"/>
      <c r="BA41" s="96"/>
      <c r="BB41" s="96"/>
    </row>
    <row r="42" spans="1:54" s="54" customFormat="1" ht="44.25" customHeight="1">
      <c r="A42" s="193" t="s">
        <v>5</v>
      </c>
      <c r="B42" s="187" t="s">
        <v>277</v>
      </c>
      <c r="C42" s="188" t="s">
        <v>42</v>
      </c>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292">
        <v>12000</v>
      </c>
      <c r="AF42" s="292">
        <v>12000</v>
      </c>
      <c r="AG42" s="292">
        <v>500</v>
      </c>
      <c r="AH42" s="292">
        <v>500</v>
      </c>
      <c r="AI42" s="187"/>
      <c r="AJ42" s="187"/>
      <c r="AK42" s="187"/>
      <c r="AL42" s="187"/>
      <c r="AM42" s="365"/>
      <c r="AN42" s="365"/>
      <c r="AO42" s="234">
        <v>500</v>
      </c>
      <c r="AP42" s="234">
        <v>500</v>
      </c>
      <c r="AQ42" s="187"/>
      <c r="AR42" s="45"/>
      <c r="AS42" s="45"/>
      <c r="AT42" s="51"/>
      <c r="AU42" s="51"/>
      <c r="AV42" s="51"/>
      <c r="AW42" s="51"/>
      <c r="AX42" s="51"/>
      <c r="AY42" s="51"/>
      <c r="AZ42" s="51"/>
      <c r="BA42" s="51"/>
      <c r="BB42" s="51"/>
    </row>
    <row r="43" spans="1:54" s="54" customFormat="1" ht="43.5" customHeight="1">
      <c r="A43" s="193" t="s">
        <v>5</v>
      </c>
      <c r="B43" s="187" t="s">
        <v>278</v>
      </c>
      <c r="C43" s="188" t="s">
        <v>42</v>
      </c>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292">
        <v>42321</v>
      </c>
      <c r="AF43" s="292">
        <f>AE43</f>
        <v>42321</v>
      </c>
      <c r="AG43" s="292">
        <v>500</v>
      </c>
      <c r="AH43" s="292">
        <v>500</v>
      </c>
      <c r="AI43" s="187"/>
      <c r="AJ43" s="187"/>
      <c r="AK43" s="187"/>
      <c r="AL43" s="187"/>
      <c r="AM43" s="365"/>
      <c r="AN43" s="365"/>
      <c r="AO43" s="234">
        <v>500</v>
      </c>
      <c r="AP43" s="234">
        <v>500</v>
      </c>
      <c r="AQ43" s="187"/>
      <c r="AR43" s="45"/>
      <c r="AS43" s="45"/>
      <c r="AT43" s="51"/>
      <c r="AU43" s="51"/>
      <c r="AV43" s="51"/>
      <c r="AW43" s="51"/>
      <c r="AX43" s="51"/>
      <c r="AY43" s="51"/>
      <c r="AZ43" s="51"/>
      <c r="BA43" s="51"/>
      <c r="BB43" s="51"/>
    </row>
    <row r="44" spans="1:54" s="54" customFormat="1" ht="46.5" customHeight="1">
      <c r="A44" s="193" t="s">
        <v>5</v>
      </c>
      <c r="B44" s="187" t="s">
        <v>279</v>
      </c>
      <c r="C44" s="188" t="s">
        <v>42</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292">
        <v>14100</v>
      </c>
      <c r="AF44" s="292">
        <v>14100</v>
      </c>
      <c r="AG44" s="292">
        <v>500</v>
      </c>
      <c r="AH44" s="292">
        <v>500</v>
      </c>
      <c r="AI44" s="187"/>
      <c r="AJ44" s="187"/>
      <c r="AK44" s="187"/>
      <c r="AL44" s="187"/>
      <c r="AM44" s="365"/>
      <c r="AN44" s="365"/>
      <c r="AO44" s="234">
        <v>500</v>
      </c>
      <c r="AP44" s="234">
        <v>500</v>
      </c>
      <c r="AQ44" s="187"/>
      <c r="AR44" s="45"/>
      <c r="AS44" s="45"/>
      <c r="AT44" s="51"/>
      <c r="AU44" s="51"/>
      <c r="AV44" s="51"/>
      <c r="AW44" s="51"/>
      <c r="AX44" s="51"/>
      <c r="AY44" s="51"/>
      <c r="AZ44" s="51"/>
      <c r="BA44" s="51"/>
      <c r="BB44" s="51"/>
    </row>
    <row r="45" spans="1:54" s="54" customFormat="1" ht="49.5" customHeight="1">
      <c r="A45" s="193" t="s">
        <v>5</v>
      </c>
      <c r="B45" s="187" t="s">
        <v>290</v>
      </c>
      <c r="C45" s="188" t="s">
        <v>42</v>
      </c>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292"/>
      <c r="AF45" s="292"/>
      <c r="AG45" s="292"/>
      <c r="AH45" s="292"/>
      <c r="AI45" s="187"/>
      <c r="AJ45" s="187"/>
      <c r="AK45" s="187"/>
      <c r="AL45" s="187"/>
      <c r="AM45" s="365"/>
      <c r="AN45" s="365"/>
      <c r="AO45" s="234">
        <v>1500</v>
      </c>
      <c r="AP45" s="234">
        <v>1500</v>
      </c>
      <c r="AQ45" s="187"/>
      <c r="AR45" s="45"/>
      <c r="AS45" s="45"/>
      <c r="AT45" s="51"/>
      <c r="AU45" s="51"/>
      <c r="AV45" s="51"/>
      <c r="AW45" s="51"/>
      <c r="AX45" s="51"/>
      <c r="AY45" s="51"/>
      <c r="AZ45" s="51"/>
      <c r="BA45" s="51"/>
      <c r="BB45" s="51"/>
    </row>
    <row r="46" spans="1:54" s="54" customFormat="1" ht="30" customHeight="1">
      <c r="A46" s="265" t="s">
        <v>21</v>
      </c>
      <c r="B46" s="185" t="s">
        <v>219</v>
      </c>
      <c r="C46" s="265"/>
      <c r="D46" s="265"/>
      <c r="E46" s="183">
        <f>SUM(E47:E52)</f>
        <v>38422.797</v>
      </c>
      <c r="F46" s="183">
        <f aca="true" t="shared" si="36" ref="F46:AC46">SUM(F47:F52)</f>
        <v>38422.797</v>
      </c>
      <c r="G46" s="183">
        <f t="shared" si="36"/>
        <v>3406</v>
      </c>
      <c r="H46" s="183">
        <f t="shared" si="36"/>
        <v>3406</v>
      </c>
      <c r="I46" s="183">
        <f t="shared" si="36"/>
        <v>0</v>
      </c>
      <c r="J46" s="183">
        <f t="shared" si="36"/>
        <v>0</v>
      </c>
      <c r="K46" s="183">
        <f t="shared" si="36"/>
        <v>0</v>
      </c>
      <c r="L46" s="183">
        <f t="shared" si="36"/>
        <v>0</v>
      </c>
      <c r="M46" s="183">
        <f t="shared" si="36"/>
        <v>0</v>
      </c>
      <c r="N46" s="183">
        <f t="shared" si="36"/>
        <v>0</v>
      </c>
      <c r="O46" s="183">
        <f t="shared" si="36"/>
        <v>17564</v>
      </c>
      <c r="P46" s="183">
        <f t="shared" si="36"/>
        <v>17564</v>
      </c>
      <c r="Q46" s="283">
        <f t="shared" si="36"/>
        <v>0</v>
      </c>
      <c r="R46" s="283">
        <f t="shared" si="36"/>
        <v>37750.04</v>
      </c>
      <c r="S46" s="283">
        <f t="shared" si="36"/>
        <v>37750.04</v>
      </c>
      <c r="T46" s="283">
        <f t="shared" si="36"/>
        <v>21258.711925</v>
      </c>
      <c r="U46" s="283">
        <f t="shared" si="36"/>
        <v>21258.711925</v>
      </c>
      <c r="V46" s="283">
        <f t="shared" si="36"/>
        <v>0</v>
      </c>
      <c r="W46" s="283">
        <f t="shared" si="36"/>
        <v>0</v>
      </c>
      <c r="X46" s="283">
        <f t="shared" si="36"/>
        <v>0</v>
      </c>
      <c r="Y46" s="283">
        <f t="shared" si="36"/>
        <v>0</v>
      </c>
      <c r="Z46" s="283">
        <f t="shared" si="36"/>
        <v>0</v>
      </c>
      <c r="AA46" s="283">
        <f t="shared" si="36"/>
        <v>0</v>
      </c>
      <c r="AB46" s="283">
        <f t="shared" si="36"/>
        <v>17564</v>
      </c>
      <c r="AC46" s="283">
        <f t="shared" si="36"/>
        <v>17564</v>
      </c>
      <c r="AD46" s="183">
        <f>SUM(AD47:AD52)</f>
        <v>0</v>
      </c>
      <c r="AE46" s="183">
        <f>SUM(AE47:AE52)</f>
        <v>61840.69</v>
      </c>
      <c r="AF46" s="183">
        <f aca="true" t="shared" si="37" ref="AF46:AP46">SUM(AF47:AF52)</f>
        <v>61840.69</v>
      </c>
      <c r="AG46" s="183">
        <f t="shared" si="37"/>
        <v>30250</v>
      </c>
      <c r="AH46" s="183">
        <f t="shared" si="37"/>
        <v>30250</v>
      </c>
      <c r="AI46" s="183">
        <f t="shared" si="37"/>
        <v>0</v>
      </c>
      <c r="AJ46" s="183">
        <f t="shared" si="37"/>
        <v>0</v>
      </c>
      <c r="AK46" s="183">
        <f t="shared" si="37"/>
        <v>0</v>
      </c>
      <c r="AL46" s="183">
        <f t="shared" si="37"/>
        <v>0</v>
      </c>
      <c r="AM46" s="250">
        <f t="shared" si="37"/>
        <v>0</v>
      </c>
      <c r="AN46" s="250">
        <f t="shared" si="37"/>
        <v>0</v>
      </c>
      <c r="AO46" s="250">
        <f t="shared" si="37"/>
        <v>16695</v>
      </c>
      <c r="AP46" s="250">
        <f t="shared" si="37"/>
        <v>16695</v>
      </c>
      <c r="AQ46" s="184"/>
      <c r="AR46" s="45"/>
      <c r="AS46" s="45"/>
      <c r="AT46" s="51"/>
      <c r="AU46" s="51"/>
      <c r="AV46" s="51"/>
      <c r="AW46" s="51"/>
      <c r="AX46" s="51"/>
      <c r="AY46" s="51"/>
      <c r="AZ46" s="51"/>
      <c r="BA46" s="51"/>
      <c r="BB46" s="51"/>
    </row>
    <row r="47" spans="1:54" s="54" customFormat="1" ht="87.75" customHeight="1">
      <c r="A47" s="193" t="s">
        <v>5</v>
      </c>
      <c r="B47" s="187" t="s">
        <v>276</v>
      </c>
      <c r="C47" s="188" t="s">
        <v>42</v>
      </c>
      <c r="D47" s="188" t="s">
        <v>179</v>
      </c>
      <c r="E47" s="86">
        <v>38422.797</v>
      </c>
      <c r="F47" s="86">
        <f>E47</f>
        <v>38422.797</v>
      </c>
      <c r="G47" s="86">
        <v>3406</v>
      </c>
      <c r="H47" s="86">
        <f>G47</f>
        <v>3406</v>
      </c>
      <c r="I47" s="86"/>
      <c r="J47" s="86"/>
      <c r="K47" s="86"/>
      <c r="L47" s="86"/>
      <c r="M47" s="86"/>
      <c r="N47" s="86"/>
      <c r="O47" s="86">
        <v>6264</v>
      </c>
      <c r="P47" s="86">
        <v>6264</v>
      </c>
      <c r="Q47" s="286" t="s">
        <v>179</v>
      </c>
      <c r="R47" s="285">
        <v>37750.04</v>
      </c>
      <c r="S47" s="285">
        <f>R47</f>
        <v>37750.04</v>
      </c>
      <c r="T47" s="285">
        <f>R47-15000-1491.328075</f>
        <v>21258.711925</v>
      </c>
      <c r="U47" s="285">
        <f>T47</f>
        <v>21258.711925</v>
      </c>
      <c r="V47" s="285"/>
      <c r="W47" s="285"/>
      <c r="X47" s="285"/>
      <c r="Y47" s="285"/>
      <c r="Z47" s="285"/>
      <c r="AA47" s="285"/>
      <c r="AB47" s="285">
        <v>6264</v>
      </c>
      <c r="AC47" s="285">
        <v>6264</v>
      </c>
      <c r="AD47" s="188" t="s">
        <v>179</v>
      </c>
      <c r="AE47" s="292">
        <v>37750.04</v>
      </c>
      <c r="AF47" s="292">
        <f>AE47</f>
        <v>37750.04</v>
      </c>
      <c r="AG47" s="292">
        <f>AH47</f>
        <v>15600</v>
      </c>
      <c r="AH47" s="292">
        <f>19250-1150-1000-1500</f>
        <v>15600</v>
      </c>
      <c r="AI47" s="86"/>
      <c r="AJ47" s="86"/>
      <c r="AK47" s="86"/>
      <c r="AL47" s="86"/>
      <c r="AM47" s="234"/>
      <c r="AN47" s="234"/>
      <c r="AO47" s="234">
        <v>7500</v>
      </c>
      <c r="AP47" s="234">
        <v>7500</v>
      </c>
      <c r="AQ47" s="190" t="s">
        <v>239</v>
      </c>
      <c r="AR47" s="50"/>
      <c r="AS47" s="50"/>
      <c r="AT47" s="51"/>
      <c r="AU47" s="51"/>
      <c r="AV47" s="51"/>
      <c r="AW47" s="51"/>
      <c r="AX47" s="51"/>
      <c r="AY47" s="51"/>
      <c r="AZ47" s="51"/>
      <c r="BA47" s="51"/>
      <c r="BB47" s="51"/>
    </row>
    <row r="48" spans="1:54" s="54" customFormat="1" ht="49.5">
      <c r="A48" s="193" t="s">
        <v>5</v>
      </c>
      <c r="B48" s="187" t="s">
        <v>250</v>
      </c>
      <c r="C48" s="188" t="s">
        <v>42</v>
      </c>
      <c r="D48" s="188"/>
      <c r="E48" s="86"/>
      <c r="F48" s="86"/>
      <c r="G48" s="86"/>
      <c r="H48" s="86"/>
      <c r="I48" s="86"/>
      <c r="J48" s="86"/>
      <c r="K48" s="86"/>
      <c r="L48" s="86"/>
      <c r="M48" s="86"/>
      <c r="N48" s="86"/>
      <c r="O48" s="86"/>
      <c r="P48" s="86"/>
      <c r="Q48" s="286"/>
      <c r="R48" s="285"/>
      <c r="S48" s="285"/>
      <c r="T48" s="285"/>
      <c r="U48" s="285"/>
      <c r="V48" s="285"/>
      <c r="W48" s="285"/>
      <c r="X48" s="285"/>
      <c r="Y48" s="285"/>
      <c r="Z48" s="285"/>
      <c r="AA48" s="285"/>
      <c r="AB48" s="285"/>
      <c r="AC48" s="285"/>
      <c r="AD48" s="188" t="s">
        <v>289</v>
      </c>
      <c r="AE48" s="292">
        <v>1150.555</v>
      </c>
      <c r="AF48" s="292">
        <f>AE48</f>
        <v>1150.555</v>
      </c>
      <c r="AG48" s="292">
        <v>1150</v>
      </c>
      <c r="AH48" s="292">
        <v>1150</v>
      </c>
      <c r="AI48" s="86"/>
      <c r="AJ48" s="86"/>
      <c r="AK48" s="86"/>
      <c r="AL48" s="86"/>
      <c r="AM48" s="234"/>
      <c r="AN48" s="234"/>
      <c r="AO48" s="234">
        <v>1150</v>
      </c>
      <c r="AP48" s="234">
        <v>1150</v>
      </c>
      <c r="AQ48" s="190"/>
      <c r="AR48" s="50"/>
      <c r="AS48" s="50"/>
      <c r="AT48" s="51"/>
      <c r="AU48" s="51"/>
      <c r="AV48" s="51"/>
      <c r="AW48" s="51"/>
      <c r="AX48" s="51"/>
      <c r="AY48" s="51"/>
      <c r="AZ48" s="51"/>
      <c r="BA48" s="51"/>
      <c r="BB48" s="51"/>
    </row>
    <row r="49" spans="1:54" s="54" customFormat="1" ht="49.5">
      <c r="A49" s="193" t="s">
        <v>5</v>
      </c>
      <c r="B49" s="187" t="s">
        <v>288</v>
      </c>
      <c r="C49" s="188" t="s">
        <v>42</v>
      </c>
      <c r="D49" s="188"/>
      <c r="E49" s="86"/>
      <c r="F49" s="86"/>
      <c r="G49" s="86"/>
      <c r="H49" s="86"/>
      <c r="I49" s="86"/>
      <c r="J49" s="86"/>
      <c r="K49" s="86"/>
      <c r="L49" s="86"/>
      <c r="M49" s="86"/>
      <c r="N49" s="86"/>
      <c r="O49" s="86"/>
      <c r="P49" s="86"/>
      <c r="Q49" s="286"/>
      <c r="R49" s="285"/>
      <c r="S49" s="285"/>
      <c r="T49" s="285"/>
      <c r="U49" s="285"/>
      <c r="V49" s="285"/>
      <c r="W49" s="285"/>
      <c r="X49" s="285"/>
      <c r="Y49" s="285"/>
      <c r="Z49" s="285"/>
      <c r="AA49" s="285"/>
      <c r="AB49" s="285"/>
      <c r="AC49" s="285"/>
      <c r="AD49" s="188" t="s">
        <v>293</v>
      </c>
      <c r="AE49" s="292">
        <v>1000</v>
      </c>
      <c r="AF49" s="292">
        <v>1000</v>
      </c>
      <c r="AG49" s="292">
        <v>1000</v>
      </c>
      <c r="AH49" s="292">
        <v>1000</v>
      </c>
      <c r="AI49" s="86"/>
      <c r="AJ49" s="86"/>
      <c r="AK49" s="86"/>
      <c r="AL49" s="86"/>
      <c r="AM49" s="234"/>
      <c r="AN49" s="234"/>
      <c r="AO49" s="234">
        <v>1000</v>
      </c>
      <c r="AP49" s="234">
        <v>1000</v>
      </c>
      <c r="AQ49" s="190"/>
      <c r="AR49" s="50"/>
      <c r="AS49" s="50"/>
      <c r="AT49" s="51"/>
      <c r="AU49" s="51"/>
      <c r="AV49" s="51"/>
      <c r="AW49" s="51"/>
      <c r="AX49" s="51"/>
      <c r="AY49" s="51"/>
      <c r="AZ49" s="51"/>
      <c r="BA49" s="51"/>
      <c r="BB49" s="51"/>
    </row>
    <row r="50" spans="1:54" s="54" customFormat="1" ht="49.5">
      <c r="A50" s="193" t="s">
        <v>5</v>
      </c>
      <c r="B50" s="187" t="s">
        <v>122</v>
      </c>
      <c r="C50" s="188" t="s">
        <v>42</v>
      </c>
      <c r="D50" s="188"/>
      <c r="E50" s="86"/>
      <c r="F50" s="190"/>
      <c r="G50" s="86"/>
      <c r="H50" s="190"/>
      <c r="I50" s="86"/>
      <c r="J50" s="86"/>
      <c r="K50" s="86"/>
      <c r="L50" s="86"/>
      <c r="M50" s="86"/>
      <c r="N50" s="86"/>
      <c r="O50" s="86">
        <f>5000-500</f>
        <v>4500</v>
      </c>
      <c r="P50" s="86">
        <f>5000-500</f>
        <v>4500</v>
      </c>
      <c r="Q50" s="286"/>
      <c r="R50" s="285"/>
      <c r="S50" s="289"/>
      <c r="T50" s="285"/>
      <c r="U50" s="289"/>
      <c r="V50" s="285"/>
      <c r="W50" s="285"/>
      <c r="X50" s="285"/>
      <c r="Y50" s="285"/>
      <c r="Z50" s="285"/>
      <c r="AA50" s="285"/>
      <c r="AB50" s="285">
        <f>5000-500</f>
        <v>4500</v>
      </c>
      <c r="AC50" s="285">
        <f>5000-500</f>
        <v>4500</v>
      </c>
      <c r="AD50" s="301" t="s">
        <v>291</v>
      </c>
      <c r="AE50" s="292">
        <v>10000</v>
      </c>
      <c r="AF50" s="292">
        <v>10000</v>
      </c>
      <c r="AG50" s="292">
        <v>5000</v>
      </c>
      <c r="AH50" s="292">
        <v>5000</v>
      </c>
      <c r="AI50" s="86"/>
      <c r="AJ50" s="86"/>
      <c r="AK50" s="86"/>
      <c r="AL50" s="86"/>
      <c r="AM50" s="234"/>
      <c r="AN50" s="234"/>
      <c r="AO50" s="234">
        <v>2500</v>
      </c>
      <c r="AP50" s="234">
        <v>2500</v>
      </c>
      <c r="AQ50" s="190"/>
      <c r="AR50" s="50"/>
      <c r="AS50" s="50"/>
      <c r="AT50" s="51"/>
      <c r="AU50" s="51"/>
      <c r="AV50" s="51"/>
      <c r="AW50" s="51"/>
      <c r="AX50" s="51"/>
      <c r="AY50" s="51"/>
      <c r="AZ50" s="51"/>
      <c r="BA50" s="51"/>
      <c r="BB50" s="51"/>
    </row>
    <row r="51" spans="1:54" s="54" customFormat="1" ht="49.5">
      <c r="A51" s="193" t="s">
        <v>5</v>
      </c>
      <c r="B51" s="187" t="s">
        <v>131</v>
      </c>
      <c r="C51" s="188" t="s">
        <v>42</v>
      </c>
      <c r="D51" s="188"/>
      <c r="E51" s="86"/>
      <c r="F51" s="190"/>
      <c r="G51" s="86">
        <f>H51</f>
        <v>0</v>
      </c>
      <c r="H51" s="190"/>
      <c r="I51" s="86"/>
      <c r="J51" s="86"/>
      <c r="K51" s="86"/>
      <c r="L51" s="86"/>
      <c r="M51" s="86"/>
      <c r="N51" s="86"/>
      <c r="O51" s="86">
        <f>2500-200</f>
        <v>2300</v>
      </c>
      <c r="P51" s="86">
        <f>2500-200</f>
        <v>2300</v>
      </c>
      <c r="Q51" s="286"/>
      <c r="R51" s="285"/>
      <c r="S51" s="289"/>
      <c r="T51" s="285">
        <f>U51</f>
        <v>0</v>
      </c>
      <c r="U51" s="289"/>
      <c r="V51" s="285"/>
      <c r="W51" s="285"/>
      <c r="X51" s="285"/>
      <c r="Y51" s="285"/>
      <c r="Z51" s="285"/>
      <c r="AA51" s="285"/>
      <c r="AB51" s="285">
        <f>2500-200</f>
        <v>2300</v>
      </c>
      <c r="AC51" s="285">
        <f>2500-200</f>
        <v>2300</v>
      </c>
      <c r="AD51" s="301" t="s">
        <v>292</v>
      </c>
      <c r="AE51" s="292">
        <v>2500</v>
      </c>
      <c r="AF51" s="292">
        <v>2500</v>
      </c>
      <c r="AG51" s="292">
        <v>2500</v>
      </c>
      <c r="AH51" s="292">
        <v>2500</v>
      </c>
      <c r="AI51" s="86"/>
      <c r="AJ51" s="86"/>
      <c r="AK51" s="86"/>
      <c r="AL51" s="86"/>
      <c r="AM51" s="234"/>
      <c r="AN51" s="234"/>
      <c r="AO51" s="234">
        <v>2500</v>
      </c>
      <c r="AP51" s="234">
        <v>2500</v>
      </c>
      <c r="AQ51" s="190"/>
      <c r="AR51" s="50"/>
      <c r="AS51" s="50"/>
      <c r="AT51" s="51"/>
      <c r="AU51" s="51"/>
      <c r="AV51" s="51"/>
      <c r="AW51" s="51"/>
      <c r="AX51" s="51"/>
      <c r="AY51" s="51"/>
      <c r="AZ51" s="51"/>
      <c r="BA51" s="51"/>
      <c r="BB51" s="51"/>
    </row>
    <row r="52" spans="1:54" s="54" customFormat="1" ht="38.25" customHeight="1">
      <c r="A52" s="193" t="s">
        <v>5</v>
      </c>
      <c r="B52" s="187" t="s">
        <v>132</v>
      </c>
      <c r="C52" s="188" t="s">
        <v>42</v>
      </c>
      <c r="D52" s="188"/>
      <c r="E52" s="86"/>
      <c r="F52" s="190"/>
      <c r="G52" s="86">
        <f>H52</f>
        <v>0</v>
      </c>
      <c r="H52" s="190"/>
      <c r="I52" s="86"/>
      <c r="J52" s="86"/>
      <c r="K52" s="86"/>
      <c r="L52" s="86"/>
      <c r="M52" s="86"/>
      <c r="N52" s="86"/>
      <c r="O52" s="86">
        <f>5000-500</f>
        <v>4500</v>
      </c>
      <c r="P52" s="86">
        <f>5000-500</f>
        <v>4500</v>
      </c>
      <c r="Q52" s="286"/>
      <c r="R52" s="285"/>
      <c r="S52" s="289"/>
      <c r="T52" s="285">
        <f>U52</f>
        <v>0</v>
      </c>
      <c r="U52" s="289"/>
      <c r="V52" s="285"/>
      <c r="W52" s="285"/>
      <c r="X52" s="285"/>
      <c r="Y52" s="285"/>
      <c r="Z52" s="285"/>
      <c r="AA52" s="285"/>
      <c r="AB52" s="285">
        <f>5000-500</f>
        <v>4500</v>
      </c>
      <c r="AC52" s="285">
        <f>5000-500</f>
        <v>4500</v>
      </c>
      <c r="AD52" s="188"/>
      <c r="AE52" s="292">
        <v>9440.095</v>
      </c>
      <c r="AF52" s="292">
        <f>AE52</f>
        <v>9440.095</v>
      </c>
      <c r="AG52" s="292">
        <v>5000</v>
      </c>
      <c r="AH52" s="292">
        <v>5000</v>
      </c>
      <c r="AI52" s="86"/>
      <c r="AJ52" s="86"/>
      <c r="AK52" s="86"/>
      <c r="AL52" s="86"/>
      <c r="AM52" s="234"/>
      <c r="AN52" s="234"/>
      <c r="AO52" s="234">
        <f>2910-865</f>
        <v>2045</v>
      </c>
      <c r="AP52" s="234">
        <f>2910-865</f>
        <v>2045</v>
      </c>
      <c r="AQ52" s="190"/>
      <c r="AR52" s="50"/>
      <c r="AS52" s="50"/>
      <c r="AT52" s="51"/>
      <c r="AU52" s="51"/>
      <c r="AV52" s="51"/>
      <c r="AW52" s="51"/>
      <c r="AX52" s="51"/>
      <c r="AY52" s="51"/>
      <c r="AZ52" s="51"/>
      <c r="BA52" s="51"/>
      <c r="BB52" s="51"/>
    </row>
    <row r="53" spans="1:54" s="54" customFormat="1" ht="45" customHeight="1">
      <c r="A53" s="299" t="s">
        <v>214</v>
      </c>
      <c r="B53" s="185" t="s">
        <v>159</v>
      </c>
      <c r="C53" s="296"/>
      <c r="D53" s="296"/>
      <c r="E53" s="183" t="e">
        <f>E54+E55+#REF!</f>
        <v>#REF!</v>
      </c>
      <c r="F53" s="183" t="e">
        <f>F54+F55+#REF!</f>
        <v>#REF!</v>
      </c>
      <c r="G53" s="183" t="e">
        <f>G54+G55+#REF!</f>
        <v>#REF!</v>
      </c>
      <c r="H53" s="183" t="e">
        <f>H54+H55+#REF!</f>
        <v>#REF!</v>
      </c>
      <c r="I53" s="183" t="e">
        <f>I54+I55+#REF!</f>
        <v>#REF!</v>
      </c>
      <c r="J53" s="183" t="e">
        <f>J54+J55+#REF!</f>
        <v>#REF!</v>
      </c>
      <c r="K53" s="183" t="e">
        <f>K54+K55+#REF!</f>
        <v>#REF!</v>
      </c>
      <c r="L53" s="183" t="e">
        <f>L54+L55+#REF!</f>
        <v>#REF!</v>
      </c>
      <c r="M53" s="183" t="e">
        <f>M54+M55+#REF!</f>
        <v>#REF!</v>
      </c>
      <c r="N53" s="183" t="e">
        <f>N54+N55+#REF!</f>
        <v>#REF!</v>
      </c>
      <c r="O53" s="183" t="e">
        <f>O54+O55+#REF!</f>
        <v>#REF!</v>
      </c>
      <c r="P53" s="183" t="e">
        <f>P54+P55+#REF!</f>
        <v>#REF!</v>
      </c>
      <c r="Q53" s="297"/>
      <c r="R53" s="283" t="e">
        <f>R54+R55+#REF!</f>
        <v>#REF!</v>
      </c>
      <c r="S53" s="283" t="e">
        <f>S54+S55+#REF!</f>
        <v>#REF!</v>
      </c>
      <c r="T53" s="283" t="e">
        <f>T54+T55+#REF!</f>
        <v>#REF!</v>
      </c>
      <c r="U53" s="283" t="e">
        <f>U54+U55+#REF!</f>
        <v>#REF!</v>
      </c>
      <c r="V53" s="283" t="e">
        <f>V54+V55+#REF!</f>
        <v>#REF!</v>
      </c>
      <c r="W53" s="283" t="e">
        <f>W54+W55+#REF!</f>
        <v>#REF!</v>
      </c>
      <c r="X53" s="283" t="e">
        <f>X54+X55+#REF!</f>
        <v>#REF!</v>
      </c>
      <c r="Y53" s="283" t="e">
        <f>Y54+Y55+#REF!</f>
        <v>#REF!</v>
      </c>
      <c r="Z53" s="283" t="e">
        <f>Z54+Z55+#REF!</f>
        <v>#REF!</v>
      </c>
      <c r="AA53" s="283" t="e">
        <f>AA54+AA55+#REF!</f>
        <v>#REF!</v>
      </c>
      <c r="AB53" s="283" t="e">
        <f>AB54+AB55+#REF!</f>
        <v>#REF!</v>
      </c>
      <c r="AC53" s="283" t="e">
        <f>AC54+AC55+#REF!</f>
        <v>#REF!</v>
      </c>
      <c r="AD53" s="296"/>
      <c r="AE53" s="183">
        <f aca="true" t="shared" si="38" ref="AE53:AO53">AE54+AE55</f>
        <v>0</v>
      </c>
      <c r="AF53" s="183">
        <f t="shared" si="38"/>
        <v>0</v>
      </c>
      <c r="AG53" s="183">
        <f t="shared" si="38"/>
        <v>0</v>
      </c>
      <c r="AH53" s="183">
        <f t="shared" si="38"/>
        <v>0</v>
      </c>
      <c r="AI53" s="183">
        <f t="shared" si="38"/>
        <v>0</v>
      </c>
      <c r="AJ53" s="183">
        <f t="shared" si="38"/>
        <v>0</v>
      </c>
      <c r="AK53" s="183">
        <f t="shared" si="38"/>
        <v>1500</v>
      </c>
      <c r="AL53" s="183">
        <f t="shared" si="38"/>
        <v>1500</v>
      </c>
      <c r="AM53" s="250">
        <f t="shared" si="38"/>
        <v>0</v>
      </c>
      <c r="AN53" s="250">
        <f t="shared" si="38"/>
        <v>0</v>
      </c>
      <c r="AO53" s="250">
        <f t="shared" si="38"/>
        <v>2700</v>
      </c>
      <c r="AP53" s="250">
        <f>AP54+AP55</f>
        <v>2700</v>
      </c>
      <c r="AQ53" s="184"/>
      <c r="AR53" s="45"/>
      <c r="AS53" s="45"/>
      <c r="AT53" s="51"/>
      <c r="AU53" s="51"/>
      <c r="AV53" s="51"/>
      <c r="AW53" s="51"/>
      <c r="AX53" s="51"/>
      <c r="AY53" s="51"/>
      <c r="AZ53" s="51"/>
      <c r="BA53" s="51"/>
      <c r="BB53" s="51"/>
    </row>
    <row r="54" spans="1:54" s="47" customFormat="1" ht="40.5" customHeight="1">
      <c r="A54" s="193" t="s">
        <v>5</v>
      </c>
      <c r="B54" s="187" t="s">
        <v>53</v>
      </c>
      <c r="C54" s="188" t="s">
        <v>53</v>
      </c>
      <c r="D54" s="188"/>
      <c r="E54" s="86"/>
      <c r="F54" s="86"/>
      <c r="G54" s="86"/>
      <c r="H54" s="86"/>
      <c r="I54" s="86">
        <v>0</v>
      </c>
      <c r="J54" s="86">
        <v>0</v>
      </c>
      <c r="K54" s="86">
        <v>312</v>
      </c>
      <c r="L54" s="86">
        <v>312</v>
      </c>
      <c r="M54" s="86"/>
      <c r="N54" s="86"/>
      <c r="O54" s="86">
        <v>300</v>
      </c>
      <c r="P54" s="86">
        <v>300</v>
      </c>
      <c r="Q54" s="286"/>
      <c r="R54" s="285"/>
      <c r="S54" s="285"/>
      <c r="T54" s="285"/>
      <c r="U54" s="285"/>
      <c r="V54" s="285">
        <v>0</v>
      </c>
      <c r="W54" s="285">
        <v>0</v>
      </c>
      <c r="X54" s="285">
        <v>312</v>
      </c>
      <c r="Y54" s="285">
        <v>312</v>
      </c>
      <c r="Z54" s="285"/>
      <c r="AA54" s="285"/>
      <c r="AB54" s="285">
        <v>300</v>
      </c>
      <c r="AC54" s="285">
        <v>300</v>
      </c>
      <c r="AD54" s="188"/>
      <c r="AE54" s="86"/>
      <c r="AF54" s="86"/>
      <c r="AG54" s="86"/>
      <c r="AH54" s="86"/>
      <c r="AI54" s="86">
        <v>0</v>
      </c>
      <c r="AJ54" s="86">
        <v>0</v>
      </c>
      <c r="AK54" s="86">
        <v>312</v>
      </c>
      <c r="AL54" s="86">
        <v>312</v>
      </c>
      <c r="AM54" s="234"/>
      <c r="AN54" s="234"/>
      <c r="AO54" s="234">
        <v>700</v>
      </c>
      <c r="AP54" s="234">
        <v>700</v>
      </c>
      <c r="AQ54" s="190"/>
      <c r="AR54" s="50"/>
      <c r="AS54" s="50"/>
      <c r="AT54" s="149"/>
      <c r="AU54" s="149"/>
      <c r="AV54" s="46"/>
      <c r="AW54" s="46"/>
      <c r="AX54" s="46"/>
      <c r="AY54" s="46"/>
      <c r="AZ54" s="46"/>
      <c r="BA54" s="46"/>
      <c r="BB54" s="46"/>
    </row>
    <row r="55" spans="1:54" s="47" customFormat="1" ht="40.5" customHeight="1">
      <c r="A55" s="193" t="s">
        <v>5</v>
      </c>
      <c r="B55" s="187" t="s">
        <v>190</v>
      </c>
      <c r="C55" s="188" t="s">
        <v>51</v>
      </c>
      <c r="D55" s="188"/>
      <c r="E55" s="86"/>
      <c r="F55" s="86"/>
      <c r="G55" s="86"/>
      <c r="H55" s="86"/>
      <c r="I55" s="86">
        <v>0</v>
      </c>
      <c r="J55" s="86">
        <v>0</v>
      </c>
      <c r="K55" s="86">
        <v>1188</v>
      </c>
      <c r="L55" s="86">
        <v>1188</v>
      </c>
      <c r="M55" s="86"/>
      <c r="N55" s="86"/>
      <c r="O55" s="86">
        <v>1800</v>
      </c>
      <c r="P55" s="86">
        <v>1800</v>
      </c>
      <c r="Q55" s="286"/>
      <c r="R55" s="285"/>
      <c r="S55" s="285"/>
      <c r="T55" s="285"/>
      <c r="U55" s="285"/>
      <c r="V55" s="285">
        <v>0</v>
      </c>
      <c r="W55" s="285">
        <v>0</v>
      </c>
      <c r="X55" s="285">
        <v>1188</v>
      </c>
      <c r="Y55" s="285">
        <v>1188</v>
      </c>
      <c r="Z55" s="285"/>
      <c r="AA55" s="285"/>
      <c r="AB55" s="285">
        <v>1800</v>
      </c>
      <c r="AC55" s="285">
        <v>1800</v>
      </c>
      <c r="AD55" s="188"/>
      <c r="AE55" s="86"/>
      <c r="AF55" s="86"/>
      <c r="AG55" s="86"/>
      <c r="AH55" s="86"/>
      <c r="AI55" s="86">
        <v>0</v>
      </c>
      <c r="AJ55" s="86">
        <v>0</v>
      </c>
      <c r="AK55" s="86">
        <v>1188</v>
      </c>
      <c r="AL55" s="86">
        <v>1188</v>
      </c>
      <c r="AM55" s="234"/>
      <c r="AN55" s="234"/>
      <c r="AO55" s="234">
        <v>2000</v>
      </c>
      <c r="AP55" s="234">
        <v>2000</v>
      </c>
      <c r="AQ55" s="190"/>
      <c r="AR55" s="50" t="s">
        <v>105</v>
      </c>
      <c r="AS55" s="50"/>
      <c r="AT55" s="149"/>
      <c r="AU55" s="46"/>
      <c r="AV55" s="46"/>
      <c r="AW55" s="46"/>
      <c r="AX55" s="46"/>
      <c r="AY55" s="46"/>
      <c r="AZ55" s="46"/>
      <c r="BA55" s="46"/>
      <c r="BB55" s="46"/>
    </row>
    <row r="56" spans="1:54" s="279" customFormat="1" ht="40.5" customHeight="1">
      <c r="A56" s="299" t="s">
        <v>286</v>
      </c>
      <c r="B56" s="293" t="s">
        <v>242</v>
      </c>
      <c r="C56" s="275"/>
      <c r="D56" s="275"/>
      <c r="E56" s="183"/>
      <c r="F56" s="183"/>
      <c r="G56" s="183"/>
      <c r="H56" s="183"/>
      <c r="I56" s="183"/>
      <c r="J56" s="183"/>
      <c r="K56" s="183"/>
      <c r="L56" s="183"/>
      <c r="M56" s="183"/>
      <c r="N56" s="183"/>
      <c r="O56" s="183"/>
      <c r="P56" s="183"/>
      <c r="Q56" s="282"/>
      <c r="R56" s="283"/>
      <c r="S56" s="283"/>
      <c r="T56" s="283"/>
      <c r="U56" s="283"/>
      <c r="V56" s="283"/>
      <c r="W56" s="283"/>
      <c r="X56" s="283"/>
      <c r="Y56" s="283"/>
      <c r="Z56" s="283"/>
      <c r="AA56" s="283"/>
      <c r="AB56" s="283"/>
      <c r="AC56" s="283"/>
      <c r="AD56" s="275"/>
      <c r="AE56" s="183">
        <f>AE57+AE58</f>
        <v>193540.671</v>
      </c>
      <c r="AF56" s="183">
        <f aca="true" t="shared" si="39" ref="AF56:AP56">AF57+AF58</f>
        <v>193540.671</v>
      </c>
      <c r="AG56" s="183">
        <f t="shared" si="39"/>
        <v>193540.671</v>
      </c>
      <c r="AH56" s="183">
        <f t="shared" si="39"/>
        <v>193540.671</v>
      </c>
      <c r="AI56" s="183">
        <f t="shared" si="39"/>
        <v>0</v>
      </c>
      <c r="AJ56" s="183">
        <f t="shared" si="39"/>
        <v>0</v>
      </c>
      <c r="AK56" s="183">
        <f t="shared" si="39"/>
        <v>0</v>
      </c>
      <c r="AL56" s="183">
        <f t="shared" si="39"/>
        <v>0</v>
      </c>
      <c r="AM56" s="183">
        <f t="shared" si="39"/>
        <v>0</v>
      </c>
      <c r="AN56" s="183">
        <f t="shared" si="39"/>
        <v>0</v>
      </c>
      <c r="AO56" s="250">
        <f t="shared" si="39"/>
        <v>6240</v>
      </c>
      <c r="AP56" s="250">
        <f t="shared" si="39"/>
        <v>6240</v>
      </c>
      <c r="AQ56" s="277"/>
      <c r="AR56" s="45"/>
      <c r="AS56" s="45"/>
      <c r="AT56" s="278"/>
      <c r="AU56" s="278"/>
      <c r="AV56" s="278"/>
      <c r="AW56" s="278"/>
      <c r="AX56" s="278"/>
      <c r="AY56" s="278"/>
      <c r="AZ56" s="278"/>
      <c r="BA56" s="278"/>
      <c r="BB56" s="278"/>
    </row>
    <row r="57" spans="1:54" s="47" customFormat="1" ht="64.5" customHeight="1">
      <c r="A57" s="193" t="s">
        <v>5</v>
      </c>
      <c r="B57" s="187" t="s">
        <v>243</v>
      </c>
      <c r="C57" s="188" t="s">
        <v>42</v>
      </c>
      <c r="D57" s="188"/>
      <c r="E57" s="86"/>
      <c r="F57" s="86"/>
      <c r="G57" s="86"/>
      <c r="H57" s="86"/>
      <c r="I57" s="86"/>
      <c r="J57" s="86"/>
      <c r="K57" s="86"/>
      <c r="L57" s="86"/>
      <c r="M57" s="86"/>
      <c r="N57" s="86"/>
      <c r="O57" s="86"/>
      <c r="P57" s="86"/>
      <c r="Q57" s="286"/>
      <c r="R57" s="285"/>
      <c r="S57" s="285"/>
      <c r="T57" s="285"/>
      <c r="U57" s="285"/>
      <c r="V57" s="285"/>
      <c r="W57" s="285"/>
      <c r="X57" s="285"/>
      <c r="Y57" s="285"/>
      <c r="Z57" s="285"/>
      <c r="AA57" s="285"/>
      <c r="AB57" s="285"/>
      <c r="AC57" s="285"/>
      <c r="AD57" s="188" t="s">
        <v>186</v>
      </c>
      <c r="AE57" s="86">
        <v>114353</v>
      </c>
      <c r="AF57" s="86">
        <v>114353</v>
      </c>
      <c r="AG57" s="86">
        <v>114353</v>
      </c>
      <c r="AH57" s="86">
        <v>114353</v>
      </c>
      <c r="AI57" s="86"/>
      <c r="AJ57" s="86"/>
      <c r="AK57" s="86"/>
      <c r="AL57" s="86"/>
      <c r="AM57" s="86"/>
      <c r="AN57" s="86"/>
      <c r="AO57" s="234">
        <v>4000</v>
      </c>
      <c r="AP57" s="234">
        <v>4000</v>
      </c>
      <c r="AQ57" s="292"/>
      <c r="AR57" s="50"/>
      <c r="AS57" s="50"/>
      <c r="AT57" s="276"/>
      <c r="AU57" s="276"/>
      <c r="AV57" s="276"/>
      <c r="AW57" s="276"/>
      <c r="AX57" s="276"/>
      <c r="AY57" s="276"/>
      <c r="AZ57" s="276"/>
      <c r="BA57" s="276"/>
      <c r="BB57" s="276"/>
    </row>
    <row r="58" spans="1:54" s="47" customFormat="1" ht="67.5" customHeight="1">
      <c r="A58" s="193" t="s">
        <v>5</v>
      </c>
      <c r="B58" s="187" t="s">
        <v>244</v>
      </c>
      <c r="C58" s="188" t="s">
        <v>42</v>
      </c>
      <c r="D58" s="188"/>
      <c r="E58" s="86"/>
      <c r="F58" s="86"/>
      <c r="G58" s="86"/>
      <c r="H58" s="86"/>
      <c r="I58" s="86"/>
      <c r="J58" s="86"/>
      <c r="K58" s="86"/>
      <c r="L58" s="86"/>
      <c r="M58" s="86"/>
      <c r="N58" s="86"/>
      <c r="O58" s="86"/>
      <c r="P58" s="86"/>
      <c r="Q58" s="286"/>
      <c r="R58" s="285"/>
      <c r="S58" s="285"/>
      <c r="T58" s="285"/>
      <c r="U58" s="285"/>
      <c r="V58" s="285"/>
      <c r="W58" s="285"/>
      <c r="X58" s="285"/>
      <c r="Y58" s="285"/>
      <c r="Z58" s="285"/>
      <c r="AA58" s="285"/>
      <c r="AB58" s="285"/>
      <c r="AC58" s="285"/>
      <c r="AD58" s="188" t="s">
        <v>245</v>
      </c>
      <c r="AE58" s="86">
        <v>79187.671</v>
      </c>
      <c r="AF58" s="86">
        <v>79187.671</v>
      </c>
      <c r="AG58" s="86">
        <v>79187.671</v>
      </c>
      <c r="AH58" s="86">
        <v>79187.671</v>
      </c>
      <c r="AI58" s="86"/>
      <c r="AJ58" s="86"/>
      <c r="AK58" s="86"/>
      <c r="AL58" s="86"/>
      <c r="AM58" s="86"/>
      <c r="AN58" s="86"/>
      <c r="AO58" s="234">
        <v>2240</v>
      </c>
      <c r="AP58" s="234">
        <v>2240</v>
      </c>
      <c r="AQ58" s="292"/>
      <c r="AR58" s="50"/>
      <c r="AS58" s="50"/>
      <c r="AT58" s="276"/>
      <c r="AU58" s="276"/>
      <c r="AV58" s="276"/>
      <c r="AW58" s="276"/>
      <c r="AX58" s="276"/>
      <c r="AY58" s="276"/>
      <c r="AZ58" s="276"/>
      <c r="BA58" s="276"/>
      <c r="BB58" s="276"/>
    </row>
    <row r="59" spans="1:43" ht="60.75" customHeight="1">
      <c r="A59" s="320" t="s">
        <v>275</v>
      </c>
      <c r="B59" s="320"/>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row>
  </sheetData>
  <sheetProtection/>
  <mergeCells count="76">
    <mergeCell ref="D9:D10"/>
    <mergeCell ref="A4:AQ4"/>
    <mergeCell ref="A5:AQ5"/>
    <mergeCell ref="AT8:AT10"/>
    <mergeCell ref="AR8:AR10"/>
    <mergeCell ref="AJ9:AJ10"/>
    <mergeCell ref="AD9:AD10"/>
    <mergeCell ref="AL9:AL10"/>
    <mergeCell ref="AM9:AM10"/>
    <mergeCell ref="AN9:AN10"/>
    <mergeCell ref="AQ7:AQ10"/>
    <mergeCell ref="AD7:AP7"/>
    <mergeCell ref="AT19:BB19"/>
    <mergeCell ref="J9:J10"/>
    <mergeCell ref="AS8:AS10"/>
    <mergeCell ref="L9:L10"/>
    <mergeCell ref="AK9:AK10"/>
    <mergeCell ref="AO9:AO10"/>
    <mergeCell ref="I8:J8"/>
    <mergeCell ref="AP9:AP10"/>
    <mergeCell ref="V8:W8"/>
    <mergeCell ref="A1:AQ1"/>
    <mergeCell ref="G6:AQ6"/>
    <mergeCell ref="G9:G10"/>
    <mergeCell ref="G8:H8"/>
    <mergeCell ref="O9:O10"/>
    <mergeCell ref="V9:V10"/>
    <mergeCell ref="K8:L8"/>
    <mergeCell ref="D8:F8"/>
    <mergeCell ref="AE9:AE10"/>
    <mergeCell ref="Q9:Q10"/>
    <mergeCell ref="R9:R10"/>
    <mergeCell ref="S9:S10"/>
    <mergeCell ref="N9:N10"/>
    <mergeCell ref="I9:I10"/>
    <mergeCell ref="Z9:Z10"/>
    <mergeCell ref="K9:K10"/>
    <mergeCell ref="AF9:AF10"/>
    <mergeCell ref="AG8:AH8"/>
    <mergeCell ref="AI9:AI10"/>
    <mergeCell ref="X9:X10"/>
    <mergeCell ref="AA9:AA10"/>
    <mergeCell ref="Y9:Y10"/>
    <mergeCell ref="AG9:AG10"/>
    <mergeCell ref="AH9:AH10"/>
    <mergeCell ref="Z8:AA8"/>
    <mergeCell ref="A2:AQ2"/>
    <mergeCell ref="E9:E10"/>
    <mergeCell ref="AC9:AC10"/>
    <mergeCell ref="O8:P8"/>
    <mergeCell ref="H9:H10"/>
    <mergeCell ref="D7:P7"/>
    <mergeCell ref="M8:N8"/>
    <mergeCell ref="W9:W10"/>
    <mergeCell ref="P9:P10"/>
    <mergeCell ref="T8:U8"/>
    <mergeCell ref="A3:AQ3"/>
    <mergeCell ref="A7:A10"/>
    <mergeCell ref="AK8:AL8"/>
    <mergeCell ref="AM8:AN8"/>
    <mergeCell ref="AO8:AP8"/>
    <mergeCell ref="X8:Y8"/>
    <mergeCell ref="Q7:AC7"/>
    <mergeCell ref="AB9:AB10"/>
    <mergeCell ref="AI8:AJ8"/>
    <mergeCell ref="AD8:AF8"/>
    <mergeCell ref="AT23:BB23"/>
    <mergeCell ref="M9:M10"/>
    <mergeCell ref="A59:AQ59"/>
    <mergeCell ref="AB8:AC8"/>
    <mergeCell ref="F9:F10"/>
    <mergeCell ref="Q8:S8"/>
    <mergeCell ref="T9:T10"/>
    <mergeCell ref="U9:U10"/>
    <mergeCell ref="B7:B10"/>
    <mergeCell ref="C7:C10"/>
  </mergeCells>
  <printOptions/>
  <pageMargins left="0.31496062992126" right="0.236220472440945" top="1.02362204724409" bottom="0.590551181102362" header="0.669291338582677" footer="0.196850393700787"/>
  <pageSetup horizontalDpi="600" verticalDpi="600" orientation="landscape" paperSize="9" scale="68"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8" customWidth="1"/>
    <col min="2" max="2" width="92.8515625" style="8" customWidth="1"/>
    <col min="3" max="4" width="24.00390625" style="8" customWidth="1"/>
    <col min="5" max="5" width="22.57421875" style="8" customWidth="1"/>
    <col min="6" max="6" width="19.00390625" style="8" customWidth="1" outlineLevel="1"/>
    <col min="7" max="7" width="27.00390625" style="8" customWidth="1"/>
    <col min="8" max="20" width="9.140625" style="2" customWidth="1"/>
    <col min="21" max="16384" width="9.140625" style="8" customWidth="1"/>
  </cols>
  <sheetData>
    <row r="1" spans="1:20" ht="21.75" customHeight="1">
      <c r="A1" s="332" t="s">
        <v>80</v>
      </c>
      <c r="B1" s="332"/>
      <c r="C1" s="332"/>
      <c r="D1" s="332"/>
      <c r="E1" s="332"/>
      <c r="F1" s="332"/>
      <c r="G1" s="332"/>
      <c r="H1" s="8"/>
      <c r="I1" s="8"/>
      <c r="J1" s="8"/>
      <c r="K1" s="8"/>
      <c r="L1" s="8"/>
      <c r="M1" s="8"/>
      <c r="N1" s="8"/>
      <c r="O1" s="8"/>
      <c r="P1" s="8"/>
      <c r="Q1" s="8"/>
      <c r="R1" s="8"/>
      <c r="S1" s="8"/>
      <c r="T1" s="8"/>
    </row>
    <row r="2" spans="1:20" ht="21.75" customHeight="1">
      <c r="A2" s="22"/>
      <c r="B2" s="22"/>
      <c r="C2" s="22"/>
      <c r="D2" s="22"/>
      <c r="E2" s="22"/>
      <c r="F2" s="22"/>
      <c r="G2" s="22"/>
      <c r="H2" s="8"/>
      <c r="I2" s="8"/>
      <c r="J2" s="8"/>
      <c r="K2" s="8"/>
      <c r="L2" s="8"/>
      <c r="M2" s="8"/>
      <c r="N2" s="8"/>
      <c r="O2" s="8"/>
      <c r="P2" s="8"/>
      <c r="Q2" s="8"/>
      <c r="R2" s="8"/>
      <c r="S2" s="8"/>
      <c r="T2" s="8"/>
    </row>
    <row r="3" spans="1:20" ht="21.75" customHeight="1">
      <c r="A3" s="22"/>
      <c r="B3" s="22"/>
      <c r="C3" s="22"/>
      <c r="D3" s="22"/>
      <c r="E3" s="22"/>
      <c r="F3" s="22"/>
      <c r="G3" s="22"/>
      <c r="H3" s="8"/>
      <c r="I3" s="8"/>
      <c r="J3" s="8"/>
      <c r="K3" s="8"/>
      <c r="L3" s="8"/>
      <c r="M3" s="8"/>
      <c r="N3" s="8"/>
      <c r="O3" s="8"/>
      <c r="P3" s="8"/>
      <c r="Q3" s="8"/>
      <c r="R3" s="8"/>
      <c r="S3" s="8"/>
      <c r="T3" s="8"/>
    </row>
    <row r="4" spans="1:20" ht="34.5" customHeight="1">
      <c r="A4" s="333" t="s">
        <v>68</v>
      </c>
      <c r="B4" s="333"/>
      <c r="C4" s="333"/>
      <c r="D4" s="333"/>
      <c r="E4" s="333"/>
      <c r="F4" s="333"/>
      <c r="G4" s="333"/>
      <c r="H4" s="8"/>
      <c r="I4" s="8"/>
      <c r="J4" s="8"/>
      <c r="K4" s="8"/>
      <c r="L4" s="8"/>
      <c r="M4" s="8"/>
      <c r="N4" s="8"/>
      <c r="O4" s="8"/>
      <c r="P4" s="8"/>
      <c r="Q4" s="8"/>
      <c r="R4" s="8"/>
      <c r="S4" s="8"/>
      <c r="T4" s="8"/>
    </row>
    <row r="5" spans="1:20" ht="18.75" hidden="1">
      <c r="A5" s="334" t="e">
        <f>'B.01_TH'!#REF!</f>
        <v>#REF!</v>
      </c>
      <c r="B5" s="334"/>
      <c r="C5" s="334"/>
      <c r="D5" s="334"/>
      <c r="E5" s="334"/>
      <c r="F5" s="334"/>
      <c r="G5" s="334"/>
      <c r="H5" s="8"/>
      <c r="I5" s="8"/>
      <c r="J5" s="8"/>
      <c r="K5" s="8"/>
      <c r="L5" s="8"/>
      <c r="M5" s="8"/>
      <c r="N5" s="8"/>
      <c r="O5" s="8"/>
      <c r="P5" s="8"/>
      <c r="Q5" s="8"/>
      <c r="R5" s="8"/>
      <c r="S5" s="8"/>
      <c r="T5" s="8"/>
    </row>
    <row r="6" spans="1:20" ht="18.75">
      <c r="A6" s="334" t="s">
        <v>86</v>
      </c>
      <c r="B6" s="334"/>
      <c r="C6" s="334"/>
      <c r="D6" s="334"/>
      <c r="E6" s="334"/>
      <c r="F6" s="334"/>
      <c r="G6" s="334"/>
      <c r="H6" s="8"/>
      <c r="I6" s="8"/>
      <c r="J6" s="8"/>
      <c r="K6" s="8"/>
      <c r="L6" s="8"/>
      <c r="M6" s="8"/>
      <c r="N6" s="8"/>
      <c r="O6" s="8"/>
      <c r="P6" s="8"/>
      <c r="Q6" s="8"/>
      <c r="R6" s="8"/>
      <c r="S6" s="8"/>
      <c r="T6" s="8"/>
    </row>
    <row r="7" spans="1:20" ht="18.75" hidden="1">
      <c r="A7" s="334" t="e">
        <f>'B.01_TH'!#REF!</f>
        <v>#REF!</v>
      </c>
      <c r="B7" s="334"/>
      <c r="C7" s="334"/>
      <c r="D7" s="334"/>
      <c r="E7" s="334"/>
      <c r="F7" s="334"/>
      <c r="G7" s="334"/>
      <c r="H7" s="8"/>
      <c r="I7" s="8"/>
      <c r="J7" s="8"/>
      <c r="K7" s="8"/>
      <c r="L7" s="8"/>
      <c r="M7" s="8"/>
      <c r="N7" s="8"/>
      <c r="O7" s="8"/>
      <c r="P7" s="8"/>
      <c r="Q7" s="8"/>
      <c r="R7" s="8"/>
      <c r="S7" s="8"/>
      <c r="T7" s="8"/>
    </row>
    <row r="8" spans="1:20" ht="15.75" customHeight="1">
      <c r="A8" s="23"/>
      <c r="B8" s="23"/>
      <c r="C8" s="23"/>
      <c r="D8" s="23"/>
      <c r="E8" s="23"/>
      <c r="F8" s="23"/>
      <c r="G8" s="23"/>
      <c r="H8" s="8"/>
      <c r="I8" s="8"/>
      <c r="J8" s="8"/>
      <c r="K8" s="8"/>
      <c r="L8" s="8"/>
      <c r="M8" s="8"/>
      <c r="N8" s="8"/>
      <c r="O8" s="8"/>
      <c r="P8" s="8"/>
      <c r="Q8" s="8"/>
      <c r="R8" s="8"/>
      <c r="S8" s="8"/>
      <c r="T8" s="8"/>
    </row>
    <row r="9" spans="5:20" ht="21.75" customHeight="1">
      <c r="E9" s="332" t="s">
        <v>0</v>
      </c>
      <c r="F9" s="332"/>
      <c r="G9" s="332"/>
      <c r="H9" s="8"/>
      <c r="I9" s="8"/>
      <c r="J9" s="8"/>
      <c r="K9" s="8"/>
      <c r="L9" s="8"/>
      <c r="M9" s="8"/>
      <c r="N9" s="8"/>
      <c r="O9" s="8"/>
      <c r="P9" s="8"/>
      <c r="Q9" s="8"/>
      <c r="R9" s="8"/>
      <c r="S9" s="8"/>
      <c r="T9" s="8"/>
    </row>
    <row r="10" spans="1:7" s="12" customFormat="1" ht="49.5">
      <c r="A10" s="3" t="s">
        <v>1</v>
      </c>
      <c r="B10" s="3" t="s">
        <v>2</v>
      </c>
      <c r="C10" s="3" t="s">
        <v>35</v>
      </c>
      <c r="D10" s="3" t="s">
        <v>27</v>
      </c>
      <c r="E10" s="41" t="s">
        <v>87</v>
      </c>
      <c r="F10" s="3" t="s">
        <v>28</v>
      </c>
      <c r="G10" s="3" t="s">
        <v>3</v>
      </c>
    </row>
    <row r="11" spans="1:7" s="28" customFormat="1" ht="16.5" hidden="1">
      <c r="A11" s="29">
        <v>1</v>
      </c>
      <c r="B11" s="29">
        <v>2</v>
      </c>
      <c r="C11" s="29">
        <v>3</v>
      </c>
      <c r="D11" s="29">
        <v>4</v>
      </c>
      <c r="E11" s="29">
        <v>5</v>
      </c>
      <c r="F11" s="29">
        <v>6</v>
      </c>
      <c r="G11" s="29">
        <v>7</v>
      </c>
    </row>
    <row r="12" spans="1:7" s="14" customFormat="1" ht="34.5" customHeight="1">
      <c r="A12" s="30"/>
      <c r="B12" s="24" t="s">
        <v>26</v>
      </c>
      <c r="C12" s="30"/>
      <c r="D12" s="30">
        <f>D13</f>
        <v>19</v>
      </c>
      <c r="E12" s="30">
        <f>E13</f>
        <v>19</v>
      </c>
      <c r="F12" s="30">
        <f>F13</f>
        <v>19</v>
      </c>
      <c r="G12" s="30"/>
    </row>
    <row r="13" spans="1:20" ht="66" customHeight="1">
      <c r="A13" s="21">
        <v>1</v>
      </c>
      <c r="B13" s="20" t="s">
        <v>69</v>
      </c>
      <c r="C13" s="21" t="s">
        <v>79</v>
      </c>
      <c r="D13" s="20">
        <v>19</v>
      </c>
      <c r="E13" s="20">
        <v>19</v>
      </c>
      <c r="F13" s="20">
        <v>19</v>
      </c>
      <c r="G13" s="20"/>
      <c r="H13" s="8"/>
      <c r="I13" s="8"/>
      <c r="J13" s="8"/>
      <c r="K13" s="8"/>
      <c r="L13" s="8"/>
      <c r="M13" s="8"/>
      <c r="N13" s="8"/>
      <c r="O13" s="8"/>
      <c r="P13" s="8"/>
      <c r="Q13" s="8"/>
      <c r="R13" s="8"/>
      <c r="S13" s="8"/>
      <c r="T13" s="8"/>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43"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33" t="s">
        <v>108</v>
      </c>
      <c r="B1" s="333"/>
      <c r="C1" s="333"/>
      <c r="D1" s="333"/>
      <c r="E1" s="333"/>
      <c r="F1" s="333"/>
      <c r="G1" s="333"/>
      <c r="H1" s="333"/>
      <c r="I1" s="333"/>
      <c r="J1" s="333"/>
      <c r="K1" s="333"/>
      <c r="L1" s="333"/>
      <c r="M1" s="333"/>
      <c r="N1" s="333"/>
      <c r="O1" s="333"/>
      <c r="P1" s="333"/>
      <c r="Q1" s="333"/>
      <c r="R1" s="333"/>
      <c r="S1" s="57"/>
    </row>
    <row r="2" spans="1:19" ht="16.5" hidden="1">
      <c r="A2" s="335" t="e">
        <f>'B.01_TH'!#REF!</f>
        <v>#REF!</v>
      </c>
      <c r="B2" s="335"/>
      <c r="C2" s="335"/>
      <c r="D2" s="335"/>
      <c r="E2" s="335"/>
      <c r="F2" s="335"/>
      <c r="G2" s="335"/>
      <c r="H2" s="335"/>
      <c r="I2" s="335"/>
      <c r="J2" s="335"/>
      <c r="K2" s="335"/>
      <c r="L2" s="335"/>
      <c r="M2" s="335"/>
      <c r="N2" s="335"/>
      <c r="O2" s="335"/>
      <c r="P2" s="335"/>
      <c r="Q2" s="335"/>
      <c r="R2" s="335"/>
      <c r="S2" s="57"/>
    </row>
    <row r="3" spans="1:19" ht="16.5">
      <c r="A3" s="335" t="e">
        <f>'B.01_TH'!#REF!</f>
        <v>#REF!</v>
      </c>
      <c r="B3" s="335"/>
      <c r="C3" s="335"/>
      <c r="D3" s="335"/>
      <c r="E3" s="335"/>
      <c r="F3" s="335"/>
      <c r="G3" s="335"/>
      <c r="H3" s="335"/>
      <c r="I3" s="335"/>
      <c r="J3" s="335"/>
      <c r="K3" s="335"/>
      <c r="L3" s="335"/>
      <c r="M3" s="335"/>
      <c r="N3" s="335"/>
      <c r="O3" s="335"/>
      <c r="P3" s="335"/>
      <c r="Q3" s="335"/>
      <c r="R3" s="335"/>
      <c r="S3" s="57"/>
    </row>
    <row r="4" spans="1:19" ht="16.5" hidden="1">
      <c r="A4" s="335" t="e">
        <f>'B.01_TH'!#REF!</f>
        <v>#REF!</v>
      </c>
      <c r="B4" s="335"/>
      <c r="C4" s="335"/>
      <c r="D4" s="335"/>
      <c r="E4" s="335"/>
      <c r="F4" s="335"/>
      <c r="G4" s="335"/>
      <c r="H4" s="335"/>
      <c r="I4" s="335"/>
      <c r="J4" s="335"/>
      <c r="K4" s="335"/>
      <c r="L4" s="335"/>
      <c r="M4" s="335"/>
      <c r="N4" s="335"/>
      <c r="O4" s="335"/>
      <c r="P4" s="335"/>
      <c r="Q4" s="335"/>
      <c r="R4" s="335"/>
      <c r="S4" s="57"/>
    </row>
    <row r="5" spans="1:19" ht="16.5" hidden="1">
      <c r="A5" s="335" t="s">
        <v>156</v>
      </c>
      <c r="B5" s="335"/>
      <c r="C5" s="335"/>
      <c r="D5" s="335"/>
      <c r="E5" s="335"/>
      <c r="F5" s="335"/>
      <c r="G5" s="335"/>
      <c r="H5" s="335"/>
      <c r="I5" s="335"/>
      <c r="J5" s="335"/>
      <c r="K5" s="335"/>
      <c r="L5" s="335"/>
      <c r="M5" s="335"/>
      <c r="N5" s="335"/>
      <c r="O5" s="335"/>
      <c r="P5" s="335"/>
      <c r="Q5" s="335"/>
      <c r="R5" s="335"/>
      <c r="S5" s="57"/>
    </row>
    <row r="6" spans="1:19" ht="23.25" customHeight="1" hidden="1">
      <c r="A6" s="335" t="e">
        <f>'B.01_TH'!#REF!</f>
        <v>#REF!</v>
      </c>
      <c r="B6" s="335"/>
      <c r="C6" s="335"/>
      <c r="D6" s="335"/>
      <c r="E6" s="335"/>
      <c r="F6" s="335"/>
      <c r="G6" s="335"/>
      <c r="H6" s="335"/>
      <c r="I6" s="335"/>
      <c r="J6" s="335"/>
      <c r="K6" s="335"/>
      <c r="L6" s="335"/>
      <c r="M6" s="335"/>
      <c r="N6" s="335"/>
      <c r="O6" s="335"/>
      <c r="P6" s="335"/>
      <c r="Q6" s="335"/>
      <c r="R6" s="335"/>
      <c r="S6" s="57"/>
    </row>
    <row r="7" spans="1:19" ht="16.5">
      <c r="A7" s="10"/>
      <c r="B7" s="8"/>
      <c r="C7" s="10"/>
      <c r="D7" s="10"/>
      <c r="E7" s="10"/>
      <c r="F7" s="66"/>
      <c r="G7" s="138"/>
      <c r="H7" s="138"/>
      <c r="I7" s="138"/>
      <c r="J7" s="139"/>
      <c r="K7" s="139"/>
      <c r="L7" s="139"/>
      <c r="M7" s="138"/>
      <c r="N7" s="138"/>
      <c r="O7" s="107"/>
      <c r="P7" s="356" t="s">
        <v>125</v>
      </c>
      <c r="Q7" s="356"/>
      <c r="R7" s="356"/>
      <c r="S7" s="107"/>
    </row>
    <row r="8" spans="1:19" ht="37.5" customHeight="1">
      <c r="A8" s="329" t="s">
        <v>1</v>
      </c>
      <c r="B8" s="329" t="s">
        <v>55</v>
      </c>
      <c r="C8" s="329" t="s">
        <v>10</v>
      </c>
      <c r="D8" s="329" t="s">
        <v>35</v>
      </c>
      <c r="E8" s="329" t="s">
        <v>56</v>
      </c>
      <c r="F8" s="347" t="s">
        <v>143</v>
      </c>
      <c r="G8" s="348"/>
      <c r="H8" s="348"/>
      <c r="I8" s="349"/>
      <c r="J8" s="341" t="s">
        <v>57</v>
      </c>
      <c r="K8" s="342"/>
      <c r="L8" s="343"/>
      <c r="M8" s="339" t="s">
        <v>109</v>
      </c>
      <c r="N8" s="339"/>
      <c r="O8" s="339"/>
      <c r="P8" s="340" t="s">
        <v>87</v>
      </c>
      <c r="Q8" s="340"/>
      <c r="R8" s="340"/>
      <c r="S8" s="140"/>
    </row>
    <row r="9" spans="1:19" ht="18.75" customHeight="1">
      <c r="A9" s="329"/>
      <c r="B9" s="329"/>
      <c r="C9" s="329"/>
      <c r="D9" s="329"/>
      <c r="E9" s="329"/>
      <c r="F9" s="350"/>
      <c r="G9" s="351"/>
      <c r="H9" s="351"/>
      <c r="I9" s="352"/>
      <c r="J9" s="344"/>
      <c r="K9" s="345"/>
      <c r="L9" s="346"/>
      <c r="M9" s="339"/>
      <c r="N9" s="339"/>
      <c r="O9" s="339"/>
      <c r="P9" s="340"/>
      <c r="Q9" s="340"/>
      <c r="R9" s="340"/>
      <c r="S9" s="140"/>
    </row>
    <row r="10" spans="1:19" ht="24" customHeight="1">
      <c r="A10" s="329"/>
      <c r="B10" s="329"/>
      <c r="C10" s="329"/>
      <c r="D10" s="329"/>
      <c r="E10" s="329"/>
      <c r="F10" s="337" t="s">
        <v>142</v>
      </c>
      <c r="G10" s="357" t="s">
        <v>124</v>
      </c>
      <c r="H10" s="359" t="s">
        <v>17</v>
      </c>
      <c r="I10" s="360"/>
      <c r="J10" s="336" t="s">
        <v>16</v>
      </c>
      <c r="K10" s="336" t="s">
        <v>17</v>
      </c>
      <c r="L10" s="336"/>
      <c r="M10" s="339" t="s">
        <v>124</v>
      </c>
      <c r="N10" s="339" t="s">
        <v>17</v>
      </c>
      <c r="O10" s="339"/>
      <c r="P10" s="340" t="s">
        <v>124</v>
      </c>
      <c r="Q10" s="340" t="s">
        <v>17</v>
      </c>
      <c r="R10" s="340"/>
      <c r="S10" s="140"/>
    </row>
    <row r="11" spans="1:19" ht="115.5" customHeight="1">
      <c r="A11" s="329"/>
      <c r="B11" s="329"/>
      <c r="C11" s="329"/>
      <c r="D11" s="329"/>
      <c r="E11" s="329"/>
      <c r="F11" s="338"/>
      <c r="G11" s="358"/>
      <c r="H11" s="124" t="s">
        <v>58</v>
      </c>
      <c r="I11" s="124" t="s">
        <v>59</v>
      </c>
      <c r="J11" s="336"/>
      <c r="K11" s="125" t="s">
        <v>58</v>
      </c>
      <c r="L11" s="125" t="s">
        <v>59</v>
      </c>
      <c r="M11" s="339"/>
      <c r="N11" s="124" t="s">
        <v>58</v>
      </c>
      <c r="O11" s="124" t="s">
        <v>59</v>
      </c>
      <c r="P11" s="340"/>
      <c r="Q11" s="123" t="s">
        <v>58</v>
      </c>
      <c r="R11" s="123" t="s">
        <v>59</v>
      </c>
      <c r="S11" s="140"/>
    </row>
    <row r="12" spans="1:19" ht="33" customHeight="1">
      <c r="A12" s="169"/>
      <c r="B12" s="170" t="s">
        <v>75</v>
      </c>
      <c r="C12" s="169"/>
      <c r="D12" s="169"/>
      <c r="E12" s="169"/>
      <c r="F12" s="171"/>
      <c r="G12" s="228">
        <f>G13+G30</f>
        <v>29393.15</v>
      </c>
      <c r="H12" s="228">
        <f aca="true" t="shared" si="0" ref="H12:R12">H13+H30</f>
        <v>26751</v>
      </c>
      <c r="I12" s="228">
        <f t="shared" si="0"/>
        <v>2687.15</v>
      </c>
      <c r="J12" s="228">
        <f t="shared" si="0"/>
        <v>45273.7</v>
      </c>
      <c r="K12" s="228">
        <f t="shared" si="0"/>
        <v>40924.36</v>
      </c>
      <c r="L12" s="228">
        <f t="shared" si="0"/>
        <v>4348.94</v>
      </c>
      <c r="M12" s="228">
        <f t="shared" si="0"/>
        <v>2237</v>
      </c>
      <c r="N12" s="228">
        <f t="shared" si="0"/>
        <v>2237</v>
      </c>
      <c r="O12" s="228">
        <f t="shared" si="0"/>
        <v>0</v>
      </c>
      <c r="P12" s="228">
        <f>SUM(Q12:R12)</f>
        <v>12179</v>
      </c>
      <c r="Q12" s="228">
        <f t="shared" si="0"/>
        <v>11019</v>
      </c>
      <c r="R12" s="228">
        <f t="shared" si="0"/>
        <v>1160</v>
      </c>
      <c r="S12" s="140"/>
    </row>
    <row r="13" spans="1:19" ht="33" customHeight="1">
      <c r="A13" s="24" t="s">
        <v>4</v>
      </c>
      <c r="B13" s="24" t="s">
        <v>191</v>
      </c>
      <c r="C13" s="24"/>
      <c r="D13" s="24"/>
      <c r="E13" s="24"/>
      <c r="F13" s="108"/>
      <c r="G13" s="229">
        <f aca="true" t="shared" si="1" ref="G13:O13">G14+G16+G22+G26</f>
        <v>0</v>
      </c>
      <c r="H13" s="229">
        <f t="shared" si="1"/>
        <v>0</v>
      </c>
      <c r="I13" s="229">
        <f t="shared" si="1"/>
        <v>0</v>
      </c>
      <c r="J13" s="87">
        <f t="shared" si="1"/>
        <v>0</v>
      </c>
      <c r="K13" s="87">
        <f t="shared" si="1"/>
        <v>0</v>
      </c>
      <c r="L13" s="87">
        <f t="shared" si="1"/>
        <v>0</v>
      </c>
      <c r="M13" s="229">
        <f t="shared" si="1"/>
        <v>0</v>
      </c>
      <c r="N13" s="229">
        <f t="shared" si="1"/>
        <v>0</v>
      </c>
      <c r="O13" s="229">
        <f t="shared" si="1"/>
        <v>0</v>
      </c>
      <c r="P13" s="229">
        <f>P14+P15+P16+P17+P22+P26</f>
        <v>2109</v>
      </c>
      <c r="Q13" s="229">
        <f>Q14+Q15+Q16+Q17+Q22+Q26</f>
        <v>2109</v>
      </c>
      <c r="R13" s="229">
        <f>R14+R16+R22+R26</f>
        <v>0</v>
      </c>
      <c r="S13" s="140"/>
    </row>
    <row r="14" spans="1:19" s="142" customFormat="1" ht="43.5" customHeight="1">
      <c r="A14" s="127">
        <v>1</v>
      </c>
      <c r="B14" s="127" t="s">
        <v>70</v>
      </c>
      <c r="C14" s="85" t="s">
        <v>20</v>
      </c>
      <c r="D14" s="85" t="s">
        <v>72</v>
      </c>
      <c r="E14" s="85">
        <v>2019</v>
      </c>
      <c r="F14" s="131"/>
      <c r="G14" s="230">
        <f>SUM(H14:I14)</f>
        <v>0</v>
      </c>
      <c r="H14" s="230"/>
      <c r="I14" s="230"/>
      <c r="J14" s="100"/>
      <c r="K14" s="100"/>
      <c r="L14" s="100"/>
      <c r="M14" s="230">
        <f>SUM(N14:O14)</f>
        <v>0</v>
      </c>
      <c r="N14" s="230"/>
      <c r="O14" s="230"/>
      <c r="P14" s="231">
        <v>500</v>
      </c>
      <c r="Q14" s="231">
        <v>500</v>
      </c>
      <c r="R14" s="231">
        <v>0</v>
      </c>
      <c r="S14" s="141"/>
    </row>
    <row r="15" spans="1:19" s="142" customFormat="1" ht="42.75" customHeight="1">
      <c r="A15" s="127">
        <v>2</v>
      </c>
      <c r="B15" s="127" t="s">
        <v>160</v>
      </c>
      <c r="C15" s="85" t="s">
        <v>20</v>
      </c>
      <c r="D15" s="85" t="s">
        <v>72</v>
      </c>
      <c r="E15" s="85">
        <v>2019</v>
      </c>
      <c r="F15" s="131"/>
      <c r="G15" s="230"/>
      <c r="H15" s="230"/>
      <c r="I15" s="230"/>
      <c r="J15" s="100"/>
      <c r="K15" s="100"/>
      <c r="L15" s="100"/>
      <c r="M15" s="230"/>
      <c r="N15" s="230"/>
      <c r="O15" s="230"/>
      <c r="P15" s="231">
        <v>500</v>
      </c>
      <c r="Q15" s="231">
        <v>500</v>
      </c>
      <c r="R15" s="231"/>
      <c r="S15" s="141"/>
    </row>
    <row r="16" spans="1:19" s="142" customFormat="1" ht="40.5" customHeight="1">
      <c r="A16" s="127">
        <v>3</v>
      </c>
      <c r="B16" s="127" t="s">
        <v>71</v>
      </c>
      <c r="C16" s="85" t="s">
        <v>20</v>
      </c>
      <c r="D16" s="85" t="s">
        <v>72</v>
      </c>
      <c r="E16" s="85">
        <v>2019</v>
      </c>
      <c r="F16" s="131"/>
      <c r="G16" s="230">
        <f aca="true" t="shared" si="2" ref="G16:G29">SUM(H16:I16)</f>
        <v>0</v>
      </c>
      <c r="H16" s="230"/>
      <c r="I16" s="230"/>
      <c r="J16" s="100"/>
      <c r="K16" s="100"/>
      <c r="L16" s="100"/>
      <c r="M16" s="230">
        <f>SUM(N16:O16)</f>
        <v>0</v>
      </c>
      <c r="N16" s="230"/>
      <c r="O16" s="230"/>
      <c r="P16" s="231">
        <v>230</v>
      </c>
      <c r="Q16" s="231">
        <v>230</v>
      </c>
      <c r="R16" s="231">
        <v>0</v>
      </c>
      <c r="S16" s="141"/>
    </row>
    <row r="17" spans="1:19" s="142" customFormat="1" ht="39.75" customHeight="1">
      <c r="A17" s="127">
        <v>4</v>
      </c>
      <c r="B17" s="127" t="s">
        <v>222</v>
      </c>
      <c r="C17" s="85"/>
      <c r="D17" s="85"/>
      <c r="E17" s="85"/>
      <c r="F17" s="131"/>
      <c r="G17" s="230"/>
      <c r="H17" s="230"/>
      <c r="I17" s="230"/>
      <c r="J17" s="100"/>
      <c r="K17" s="100"/>
      <c r="L17" s="100"/>
      <c r="M17" s="230"/>
      <c r="N17" s="230"/>
      <c r="O17" s="230"/>
      <c r="P17" s="231">
        <f>SUM(P18:P21)</f>
        <v>30</v>
      </c>
      <c r="Q17" s="231">
        <f>SUM(Q18:Q21)</f>
        <v>30</v>
      </c>
      <c r="R17" s="231"/>
      <c r="S17" s="141"/>
    </row>
    <row r="18" spans="1:19" s="142" customFormat="1" ht="33" customHeight="1">
      <c r="A18" s="85"/>
      <c r="B18" s="212" t="s">
        <v>161</v>
      </c>
      <c r="C18" s="85" t="s">
        <v>20</v>
      </c>
      <c r="D18" s="85" t="s">
        <v>72</v>
      </c>
      <c r="E18" s="85">
        <v>2019</v>
      </c>
      <c r="F18" s="156"/>
      <c r="G18" s="232"/>
      <c r="H18" s="232"/>
      <c r="I18" s="232"/>
      <c r="J18" s="99"/>
      <c r="K18" s="99"/>
      <c r="L18" s="99"/>
      <c r="M18" s="232"/>
      <c r="N18" s="232"/>
      <c r="O18" s="232"/>
      <c r="P18" s="233">
        <v>15</v>
      </c>
      <c r="Q18" s="233">
        <v>15</v>
      </c>
      <c r="R18" s="233"/>
      <c r="S18" s="141"/>
    </row>
    <row r="19" spans="1:19" s="142" customFormat="1" ht="33" customHeight="1">
      <c r="A19" s="85"/>
      <c r="B19" s="212" t="s">
        <v>165</v>
      </c>
      <c r="C19" s="85" t="s">
        <v>52</v>
      </c>
      <c r="D19" s="85" t="s">
        <v>162</v>
      </c>
      <c r="E19" s="85">
        <v>2019</v>
      </c>
      <c r="F19" s="156"/>
      <c r="G19" s="232"/>
      <c r="H19" s="232"/>
      <c r="I19" s="232"/>
      <c r="J19" s="99"/>
      <c r="K19" s="99"/>
      <c r="L19" s="99"/>
      <c r="M19" s="232"/>
      <c r="N19" s="232"/>
      <c r="O19" s="232"/>
      <c r="P19" s="233">
        <v>5</v>
      </c>
      <c r="Q19" s="233">
        <v>5</v>
      </c>
      <c r="R19" s="233"/>
      <c r="S19" s="141"/>
    </row>
    <row r="20" spans="1:19" s="142" customFormat="1" ht="33" customHeight="1">
      <c r="A20" s="85"/>
      <c r="B20" s="212" t="s">
        <v>165</v>
      </c>
      <c r="C20" s="85" t="s">
        <v>53</v>
      </c>
      <c r="D20" s="85" t="s">
        <v>163</v>
      </c>
      <c r="E20" s="85">
        <v>2019</v>
      </c>
      <c r="F20" s="156"/>
      <c r="G20" s="232"/>
      <c r="H20" s="232"/>
      <c r="I20" s="232"/>
      <c r="J20" s="99"/>
      <c r="K20" s="99"/>
      <c r="L20" s="99"/>
      <c r="M20" s="232"/>
      <c r="N20" s="232"/>
      <c r="O20" s="232"/>
      <c r="P20" s="233">
        <v>5</v>
      </c>
      <c r="Q20" s="233">
        <v>5</v>
      </c>
      <c r="R20" s="233"/>
      <c r="S20" s="141"/>
    </row>
    <row r="21" spans="1:19" s="142" customFormat="1" ht="33" customHeight="1">
      <c r="A21" s="85"/>
      <c r="B21" s="212" t="s">
        <v>165</v>
      </c>
      <c r="C21" s="85" t="s">
        <v>51</v>
      </c>
      <c r="D21" s="85" t="s">
        <v>164</v>
      </c>
      <c r="E21" s="85">
        <v>2019</v>
      </c>
      <c r="F21" s="156"/>
      <c r="G21" s="232"/>
      <c r="H21" s="232"/>
      <c r="I21" s="232"/>
      <c r="J21" s="99"/>
      <c r="K21" s="99"/>
      <c r="L21" s="99"/>
      <c r="M21" s="232"/>
      <c r="N21" s="232"/>
      <c r="O21" s="232"/>
      <c r="P21" s="233">
        <v>5</v>
      </c>
      <c r="Q21" s="233">
        <v>5</v>
      </c>
      <c r="R21" s="233"/>
      <c r="S21" s="141"/>
    </row>
    <row r="22" spans="1:19" s="142" customFormat="1" ht="33" customHeight="1">
      <c r="A22" s="127">
        <v>5</v>
      </c>
      <c r="B22" s="127" t="s">
        <v>73</v>
      </c>
      <c r="C22" s="127"/>
      <c r="D22" s="127"/>
      <c r="E22" s="127"/>
      <c r="F22" s="131"/>
      <c r="G22" s="231">
        <f aca="true" t="shared" si="3" ref="G22:P22">SUM(G23:G25)</f>
        <v>0</v>
      </c>
      <c r="H22" s="231">
        <f t="shared" si="3"/>
        <v>0</v>
      </c>
      <c r="I22" s="231">
        <f t="shared" si="3"/>
        <v>0</v>
      </c>
      <c r="J22" s="231">
        <f t="shared" si="3"/>
        <v>0</v>
      </c>
      <c r="K22" s="231">
        <f t="shared" si="3"/>
        <v>0</v>
      </c>
      <c r="L22" s="231">
        <f t="shared" si="3"/>
        <v>0</v>
      </c>
      <c r="M22" s="231">
        <f t="shared" si="3"/>
        <v>0</v>
      </c>
      <c r="N22" s="231">
        <f t="shared" si="3"/>
        <v>0</v>
      </c>
      <c r="O22" s="231">
        <f t="shared" si="3"/>
        <v>0</v>
      </c>
      <c r="P22" s="231">
        <f t="shared" si="3"/>
        <v>95</v>
      </c>
      <c r="Q22" s="231">
        <f>SUM(Q23:Q25)</f>
        <v>95</v>
      </c>
      <c r="R22" s="231">
        <f>SUM(R23:R25)</f>
        <v>0</v>
      </c>
      <c r="S22" s="141"/>
    </row>
    <row r="23" spans="1:19" ht="33" customHeight="1">
      <c r="A23" s="21" t="s">
        <v>5</v>
      </c>
      <c r="B23" s="20" t="s">
        <v>52</v>
      </c>
      <c r="C23" s="85" t="s">
        <v>52</v>
      </c>
      <c r="D23" s="85" t="s">
        <v>162</v>
      </c>
      <c r="E23" s="21">
        <v>2018</v>
      </c>
      <c r="F23" s="132"/>
      <c r="G23" s="230">
        <f t="shared" si="2"/>
        <v>0</v>
      </c>
      <c r="H23" s="67"/>
      <c r="I23" s="67"/>
      <c r="J23" s="95"/>
      <c r="K23" s="95"/>
      <c r="L23" s="95"/>
      <c r="M23" s="230">
        <f>SUM(N23:O23)</f>
        <v>0</v>
      </c>
      <c r="N23" s="67"/>
      <c r="O23" s="67"/>
      <c r="P23" s="86">
        <v>31</v>
      </c>
      <c r="Q23" s="234">
        <v>31</v>
      </c>
      <c r="R23" s="86">
        <v>0</v>
      </c>
      <c r="S23" s="140"/>
    </row>
    <row r="24" spans="1:19" ht="33" customHeight="1">
      <c r="A24" s="21" t="s">
        <v>5</v>
      </c>
      <c r="B24" s="20" t="s">
        <v>53</v>
      </c>
      <c r="C24" s="85" t="s">
        <v>53</v>
      </c>
      <c r="D24" s="85" t="s">
        <v>163</v>
      </c>
      <c r="E24" s="21">
        <v>2018</v>
      </c>
      <c r="F24" s="132"/>
      <c r="G24" s="230">
        <f t="shared" si="2"/>
        <v>0</v>
      </c>
      <c r="H24" s="67"/>
      <c r="I24" s="67"/>
      <c r="J24" s="95"/>
      <c r="K24" s="95"/>
      <c r="L24" s="95"/>
      <c r="M24" s="230">
        <f>SUM(N24:O24)</f>
        <v>0</v>
      </c>
      <c r="N24" s="67"/>
      <c r="O24" s="67"/>
      <c r="P24" s="86">
        <v>32</v>
      </c>
      <c r="Q24" s="86">
        <v>32</v>
      </c>
      <c r="R24" s="86">
        <v>0</v>
      </c>
      <c r="S24" s="140"/>
    </row>
    <row r="25" spans="1:19" ht="33" customHeight="1">
      <c r="A25" s="21" t="s">
        <v>5</v>
      </c>
      <c r="B25" s="20" t="s">
        <v>51</v>
      </c>
      <c r="C25" s="85" t="s">
        <v>51</v>
      </c>
      <c r="D25" s="85" t="s">
        <v>164</v>
      </c>
      <c r="E25" s="21">
        <v>2018</v>
      </c>
      <c r="F25" s="132"/>
      <c r="G25" s="230">
        <f t="shared" si="2"/>
        <v>0</v>
      </c>
      <c r="H25" s="67"/>
      <c r="I25" s="67"/>
      <c r="J25" s="95"/>
      <c r="K25" s="95"/>
      <c r="L25" s="95"/>
      <c r="M25" s="230">
        <f>SUM(N25:O25)</f>
        <v>0</v>
      </c>
      <c r="N25" s="67"/>
      <c r="O25" s="67"/>
      <c r="P25" s="86">
        <v>32</v>
      </c>
      <c r="Q25" s="86">
        <v>32</v>
      </c>
      <c r="R25" s="86">
        <v>0</v>
      </c>
      <c r="S25" s="140"/>
    </row>
    <row r="26" spans="1:19" ht="33" customHeight="1">
      <c r="A26" s="127">
        <v>6</v>
      </c>
      <c r="B26" s="127" t="s">
        <v>74</v>
      </c>
      <c r="C26" s="127"/>
      <c r="D26" s="127"/>
      <c r="E26" s="127"/>
      <c r="F26" s="131"/>
      <c r="G26" s="231">
        <f aca="true" t="shared" si="4" ref="G26:P26">SUM(G27:G29)</f>
        <v>0</v>
      </c>
      <c r="H26" s="231">
        <f t="shared" si="4"/>
        <v>0</v>
      </c>
      <c r="I26" s="231">
        <f t="shared" si="4"/>
        <v>0</v>
      </c>
      <c r="J26" s="231">
        <f t="shared" si="4"/>
        <v>0</v>
      </c>
      <c r="K26" s="231">
        <f t="shared" si="4"/>
        <v>0</v>
      </c>
      <c r="L26" s="231">
        <f t="shared" si="4"/>
        <v>0</v>
      </c>
      <c r="M26" s="231">
        <f t="shared" si="4"/>
        <v>0</v>
      </c>
      <c r="N26" s="231">
        <f t="shared" si="4"/>
        <v>0</v>
      </c>
      <c r="O26" s="231">
        <f t="shared" si="4"/>
        <v>0</v>
      </c>
      <c r="P26" s="231">
        <f t="shared" si="4"/>
        <v>754</v>
      </c>
      <c r="Q26" s="231">
        <f>SUM(Q27:Q29)</f>
        <v>754</v>
      </c>
      <c r="R26" s="231">
        <f>SUM(R27:R29)</f>
        <v>0</v>
      </c>
      <c r="S26" s="140"/>
    </row>
    <row r="27" spans="1:19" ht="33" customHeight="1">
      <c r="A27" s="21" t="s">
        <v>5</v>
      </c>
      <c r="B27" s="20" t="s">
        <v>52</v>
      </c>
      <c r="C27" s="21" t="s">
        <v>52</v>
      </c>
      <c r="D27" s="21" t="s">
        <v>52</v>
      </c>
      <c r="E27" s="21">
        <v>2018</v>
      </c>
      <c r="F27" s="132"/>
      <c r="G27" s="230">
        <f t="shared" si="2"/>
        <v>0</v>
      </c>
      <c r="H27" s="67"/>
      <c r="I27" s="67"/>
      <c r="J27" s="95"/>
      <c r="K27" s="95"/>
      <c r="L27" s="95"/>
      <c r="M27" s="230">
        <f>SUM(N27:O27)</f>
        <v>0</v>
      </c>
      <c r="N27" s="67"/>
      <c r="O27" s="67"/>
      <c r="P27" s="86">
        <v>251</v>
      </c>
      <c r="Q27" s="86">
        <v>251</v>
      </c>
      <c r="R27" s="86">
        <v>0</v>
      </c>
      <c r="S27" s="140"/>
    </row>
    <row r="28" spans="1:19" ht="33" customHeight="1">
      <c r="A28" s="21" t="s">
        <v>5</v>
      </c>
      <c r="B28" s="20" t="s">
        <v>53</v>
      </c>
      <c r="C28" s="21" t="s">
        <v>53</v>
      </c>
      <c r="D28" s="21" t="s">
        <v>53</v>
      </c>
      <c r="E28" s="21">
        <v>2018</v>
      </c>
      <c r="F28" s="132"/>
      <c r="G28" s="230">
        <f t="shared" si="2"/>
        <v>0</v>
      </c>
      <c r="H28" s="67"/>
      <c r="I28" s="67"/>
      <c r="J28" s="95"/>
      <c r="K28" s="95"/>
      <c r="L28" s="95"/>
      <c r="M28" s="230">
        <f>SUM(N28:O28)</f>
        <v>0</v>
      </c>
      <c r="N28" s="67"/>
      <c r="O28" s="67"/>
      <c r="P28" s="86">
        <v>251</v>
      </c>
      <c r="Q28" s="86">
        <v>251</v>
      </c>
      <c r="R28" s="86">
        <v>0</v>
      </c>
      <c r="S28" s="140"/>
    </row>
    <row r="29" spans="1:19" ht="33" customHeight="1">
      <c r="A29" s="21" t="s">
        <v>5</v>
      </c>
      <c r="B29" s="20" t="s">
        <v>51</v>
      </c>
      <c r="C29" s="21" t="s">
        <v>51</v>
      </c>
      <c r="D29" s="21" t="s">
        <v>51</v>
      </c>
      <c r="E29" s="21">
        <v>2018</v>
      </c>
      <c r="F29" s="132"/>
      <c r="G29" s="230">
        <f t="shared" si="2"/>
        <v>0</v>
      </c>
      <c r="H29" s="67"/>
      <c r="I29" s="67"/>
      <c r="J29" s="95"/>
      <c r="K29" s="95"/>
      <c r="L29" s="95"/>
      <c r="M29" s="230">
        <f>SUM(N29:O29)</f>
        <v>0</v>
      </c>
      <c r="N29" s="67"/>
      <c r="O29" s="67"/>
      <c r="P29" s="86">
        <v>252</v>
      </c>
      <c r="Q29" s="86">
        <v>252</v>
      </c>
      <c r="R29" s="86">
        <v>0</v>
      </c>
      <c r="S29" s="140"/>
    </row>
    <row r="30" spans="1:19" ht="33" customHeight="1">
      <c r="A30" s="112" t="s">
        <v>6</v>
      </c>
      <c r="B30" s="112" t="s">
        <v>141</v>
      </c>
      <c r="C30" s="112"/>
      <c r="D30" s="112"/>
      <c r="E30" s="126"/>
      <c r="F30" s="108"/>
      <c r="G30" s="235">
        <f>G31+G46</f>
        <v>29393.15</v>
      </c>
      <c r="H30" s="235">
        <f aca="true" t="shared" si="5" ref="H30:R30">H31+H46</f>
        <v>26751</v>
      </c>
      <c r="I30" s="235">
        <f t="shared" si="5"/>
        <v>2687.15</v>
      </c>
      <c r="J30" s="235">
        <f t="shared" si="5"/>
        <v>45273.7</v>
      </c>
      <c r="K30" s="235">
        <f t="shared" si="5"/>
        <v>40924.36</v>
      </c>
      <c r="L30" s="235">
        <f t="shared" si="5"/>
        <v>4348.94</v>
      </c>
      <c r="M30" s="235">
        <f t="shared" si="5"/>
        <v>2237</v>
      </c>
      <c r="N30" s="235">
        <f t="shared" si="5"/>
        <v>2237</v>
      </c>
      <c r="O30" s="235">
        <f t="shared" si="5"/>
        <v>0</v>
      </c>
      <c r="P30" s="235">
        <f t="shared" si="5"/>
        <v>10070.4</v>
      </c>
      <c r="Q30" s="235">
        <f t="shared" si="5"/>
        <v>8910</v>
      </c>
      <c r="R30" s="235">
        <f t="shared" si="5"/>
        <v>1160</v>
      </c>
      <c r="S30" s="140"/>
    </row>
    <row r="31" spans="1:19" ht="27.75" customHeight="1">
      <c r="A31" s="112">
        <v>1</v>
      </c>
      <c r="B31" s="112" t="s">
        <v>40</v>
      </c>
      <c r="C31" s="112"/>
      <c r="D31" s="112"/>
      <c r="E31" s="126"/>
      <c r="F31" s="181"/>
      <c r="G31" s="235">
        <f>SUM(G32:G45)</f>
        <v>25479.75</v>
      </c>
      <c r="H31" s="235">
        <f aca="true" t="shared" si="6" ref="H31:R31">SUM(H32:H45)</f>
        <v>22990</v>
      </c>
      <c r="I31" s="235">
        <f t="shared" si="6"/>
        <v>2534.75</v>
      </c>
      <c r="J31" s="235">
        <f t="shared" si="6"/>
        <v>20680.15</v>
      </c>
      <c r="K31" s="235">
        <f t="shared" si="6"/>
        <v>18581.68</v>
      </c>
      <c r="L31" s="235">
        <f t="shared" si="6"/>
        <v>2098.47</v>
      </c>
      <c r="M31" s="235">
        <f t="shared" si="6"/>
        <v>0</v>
      </c>
      <c r="N31" s="235">
        <f t="shared" si="6"/>
        <v>0</v>
      </c>
      <c r="O31" s="235">
        <f t="shared" si="6"/>
        <v>0</v>
      </c>
      <c r="P31" s="235">
        <f t="shared" si="6"/>
        <v>1260</v>
      </c>
      <c r="Q31" s="235">
        <f t="shared" si="6"/>
        <v>1260</v>
      </c>
      <c r="R31" s="235">
        <f t="shared" si="6"/>
        <v>0</v>
      </c>
      <c r="S31" s="140"/>
    </row>
    <row r="32" spans="1:26" s="222" customFormat="1" ht="47.25" customHeight="1">
      <c r="A32" s="219" t="s">
        <v>5</v>
      </c>
      <c r="B32" s="55" t="s">
        <v>110</v>
      </c>
      <c r="C32" s="220" t="s">
        <v>111</v>
      </c>
      <c r="D32" s="220" t="s">
        <v>51</v>
      </c>
      <c r="E32" s="220">
        <v>2019</v>
      </c>
      <c r="F32" s="220"/>
      <c r="G32" s="236">
        <f>H32+I32</f>
        <v>3531.7</v>
      </c>
      <c r="H32" s="236">
        <v>2992.18</v>
      </c>
      <c r="I32" s="236">
        <v>539.52</v>
      </c>
      <c r="J32" s="236">
        <v>3531.7</v>
      </c>
      <c r="K32" s="236">
        <v>2992.18</v>
      </c>
      <c r="L32" s="236">
        <v>539.52</v>
      </c>
      <c r="M32" s="236">
        <v>0</v>
      </c>
      <c r="N32" s="236">
        <v>0</v>
      </c>
      <c r="O32" s="236">
        <v>0</v>
      </c>
      <c r="P32" s="236">
        <v>120</v>
      </c>
      <c r="Q32" s="236">
        <v>120</v>
      </c>
      <c r="R32" s="236">
        <v>0</v>
      </c>
      <c r="S32" s="221"/>
      <c r="Z32" s="223">
        <f>8910-P30</f>
        <v>-1160.3999999999996</v>
      </c>
    </row>
    <row r="33" spans="1:20" s="222" customFormat="1" ht="41.25" customHeight="1">
      <c r="A33" s="219" t="s">
        <v>5</v>
      </c>
      <c r="B33" s="55" t="s">
        <v>204</v>
      </c>
      <c r="C33" s="224" t="s">
        <v>203</v>
      </c>
      <c r="D33" s="224" t="s">
        <v>51</v>
      </c>
      <c r="E33" s="224">
        <v>2019</v>
      </c>
      <c r="F33" s="225"/>
      <c r="G33" s="236">
        <f>H33+I33</f>
        <v>1118.7</v>
      </c>
      <c r="H33" s="236">
        <v>1017</v>
      </c>
      <c r="I33" s="236">
        <v>101.7</v>
      </c>
      <c r="J33" s="236">
        <v>1118.7</v>
      </c>
      <c r="K33" s="236">
        <v>1017</v>
      </c>
      <c r="L33" s="236">
        <v>101.7</v>
      </c>
      <c r="M33" s="236">
        <v>0</v>
      </c>
      <c r="N33" s="236">
        <v>0</v>
      </c>
      <c r="O33" s="236">
        <v>0</v>
      </c>
      <c r="P33" s="236">
        <f>Q33+R33</f>
        <v>120</v>
      </c>
      <c r="Q33" s="236">
        <v>120</v>
      </c>
      <c r="R33" s="236">
        <v>0</v>
      </c>
      <c r="S33" s="221"/>
      <c r="T33" s="223">
        <f>T31-Q33-Q37-Q39-Q40-Q44</f>
        <v>-420</v>
      </c>
    </row>
    <row r="34" spans="1:20" s="222" customFormat="1" ht="33" customHeight="1">
      <c r="A34" s="219" t="s">
        <v>5</v>
      </c>
      <c r="B34" s="55" t="s">
        <v>193</v>
      </c>
      <c r="C34" s="224" t="s">
        <v>95</v>
      </c>
      <c r="D34" s="224" t="s">
        <v>51</v>
      </c>
      <c r="E34" s="224">
        <v>2020</v>
      </c>
      <c r="F34" s="225"/>
      <c r="G34" s="236">
        <v>910.6</v>
      </c>
      <c r="H34" s="236">
        <v>872.82</v>
      </c>
      <c r="I34" s="236">
        <v>82.78</v>
      </c>
      <c r="J34" s="236"/>
      <c r="K34" s="236"/>
      <c r="L34" s="236"/>
      <c r="M34" s="236"/>
      <c r="N34" s="236"/>
      <c r="O34" s="236"/>
      <c r="P34" s="236">
        <f>Q34+R34</f>
        <v>100</v>
      </c>
      <c r="Q34" s="236">
        <v>100</v>
      </c>
      <c r="R34" s="236"/>
      <c r="S34" s="221"/>
      <c r="T34" s="223"/>
    </row>
    <row r="35" spans="1:20" s="222" customFormat="1" ht="33" customHeight="1">
      <c r="A35" s="219" t="s">
        <v>5</v>
      </c>
      <c r="B35" s="55" t="s">
        <v>194</v>
      </c>
      <c r="C35" s="224" t="s">
        <v>195</v>
      </c>
      <c r="D35" s="224" t="s">
        <v>196</v>
      </c>
      <c r="E35" s="224">
        <v>2020</v>
      </c>
      <c r="F35" s="225"/>
      <c r="G35" s="237">
        <v>715</v>
      </c>
      <c r="H35" s="237">
        <v>650</v>
      </c>
      <c r="I35" s="237">
        <v>65</v>
      </c>
      <c r="J35" s="236"/>
      <c r="K35" s="236"/>
      <c r="L35" s="236"/>
      <c r="M35" s="236"/>
      <c r="N35" s="236"/>
      <c r="O35" s="236"/>
      <c r="P35" s="236">
        <v>50</v>
      </c>
      <c r="Q35" s="236">
        <v>50</v>
      </c>
      <c r="R35" s="236"/>
      <c r="S35" s="221"/>
      <c r="T35" s="223"/>
    </row>
    <row r="36" spans="1:20" s="222" customFormat="1" ht="48.75" customHeight="1">
      <c r="A36" s="219" t="s">
        <v>5</v>
      </c>
      <c r="B36" s="55" t="s">
        <v>197</v>
      </c>
      <c r="C36" s="224" t="s">
        <v>198</v>
      </c>
      <c r="D36" s="224" t="s">
        <v>196</v>
      </c>
      <c r="E36" s="224">
        <v>2020</v>
      </c>
      <c r="F36" s="225"/>
      <c r="G36" s="237">
        <v>605</v>
      </c>
      <c r="H36" s="237">
        <v>550</v>
      </c>
      <c r="I36" s="237">
        <v>55</v>
      </c>
      <c r="J36" s="236"/>
      <c r="K36" s="236"/>
      <c r="L36" s="236"/>
      <c r="M36" s="236"/>
      <c r="N36" s="236"/>
      <c r="O36" s="236"/>
      <c r="P36" s="236">
        <v>50</v>
      </c>
      <c r="Q36" s="236">
        <v>50</v>
      </c>
      <c r="R36" s="236"/>
      <c r="S36" s="221"/>
      <c r="T36" s="223"/>
    </row>
    <row r="37" spans="1:20" s="222" customFormat="1" ht="55.5" customHeight="1">
      <c r="A37" s="219" t="s">
        <v>5</v>
      </c>
      <c r="B37" s="55" t="s">
        <v>112</v>
      </c>
      <c r="C37" s="226" t="s">
        <v>123</v>
      </c>
      <c r="D37" s="224" t="s">
        <v>53</v>
      </c>
      <c r="E37" s="224">
        <v>2019</v>
      </c>
      <c r="F37" s="175"/>
      <c r="G37" s="236">
        <f aca="true" t="shared" si="7" ref="G37:G45">H37+I37</f>
        <v>574.75</v>
      </c>
      <c r="H37" s="236">
        <v>522.5</v>
      </c>
      <c r="I37" s="236">
        <v>52.25</v>
      </c>
      <c r="J37" s="236">
        <v>574.75</v>
      </c>
      <c r="K37" s="236">
        <v>522.5</v>
      </c>
      <c r="L37" s="236">
        <v>52.25</v>
      </c>
      <c r="M37" s="236">
        <v>0</v>
      </c>
      <c r="N37" s="236">
        <v>0</v>
      </c>
      <c r="O37" s="236">
        <v>0</v>
      </c>
      <c r="P37" s="236">
        <v>50</v>
      </c>
      <c r="Q37" s="236">
        <v>50</v>
      </c>
      <c r="R37" s="236">
        <v>0</v>
      </c>
      <c r="S37" s="221"/>
      <c r="T37" s="223">
        <f>SUM(Q33:Q44)</f>
        <v>990</v>
      </c>
    </row>
    <row r="38" spans="1:19" s="222" customFormat="1" ht="61.5" customHeight="1">
      <c r="A38" s="219" t="s">
        <v>5</v>
      </c>
      <c r="B38" s="55" t="s">
        <v>113</v>
      </c>
      <c r="C38" s="220" t="s">
        <v>94</v>
      </c>
      <c r="D38" s="220" t="s">
        <v>53</v>
      </c>
      <c r="E38" s="220" t="s">
        <v>118</v>
      </c>
      <c r="F38" s="227"/>
      <c r="G38" s="236">
        <f>H38+I38</f>
        <v>1996.5</v>
      </c>
      <c r="H38" s="236">
        <v>1815</v>
      </c>
      <c r="I38" s="236">
        <v>181.5</v>
      </c>
      <c r="J38" s="236">
        <v>1996.5</v>
      </c>
      <c r="K38" s="236">
        <v>1815</v>
      </c>
      <c r="L38" s="236">
        <v>181.5</v>
      </c>
      <c r="M38" s="236">
        <v>0</v>
      </c>
      <c r="N38" s="236">
        <v>0</v>
      </c>
      <c r="O38" s="236">
        <v>0</v>
      </c>
      <c r="P38" s="236">
        <f>Q38+R38</f>
        <v>100</v>
      </c>
      <c r="Q38" s="236">
        <v>100</v>
      </c>
      <c r="R38" s="236">
        <v>0</v>
      </c>
      <c r="S38" s="221"/>
    </row>
    <row r="39" spans="1:20" s="222" customFormat="1" ht="54" customHeight="1">
      <c r="A39" s="219" t="s">
        <v>5</v>
      </c>
      <c r="B39" s="55" t="s">
        <v>114</v>
      </c>
      <c r="C39" s="224" t="s">
        <v>94</v>
      </c>
      <c r="D39" s="224" t="s">
        <v>53</v>
      </c>
      <c r="E39" s="224">
        <v>2019</v>
      </c>
      <c r="F39" s="175"/>
      <c r="G39" s="236">
        <f t="shared" si="7"/>
        <v>792</v>
      </c>
      <c r="H39" s="236">
        <v>720</v>
      </c>
      <c r="I39" s="236">
        <v>72</v>
      </c>
      <c r="J39" s="236">
        <v>792</v>
      </c>
      <c r="K39" s="236">
        <v>720</v>
      </c>
      <c r="L39" s="236">
        <v>72</v>
      </c>
      <c r="M39" s="236">
        <v>0</v>
      </c>
      <c r="N39" s="236">
        <v>0</v>
      </c>
      <c r="O39" s="236">
        <v>0</v>
      </c>
      <c r="P39" s="236">
        <v>100</v>
      </c>
      <c r="Q39" s="236">
        <v>100</v>
      </c>
      <c r="R39" s="236">
        <v>0</v>
      </c>
      <c r="S39" s="221"/>
      <c r="T39" s="223">
        <f>T31-T37</f>
        <v>-990</v>
      </c>
    </row>
    <row r="40" spans="1:19" s="222" customFormat="1" ht="51.75" customHeight="1">
      <c r="A40" s="219" t="s">
        <v>5</v>
      </c>
      <c r="B40" s="55" t="s">
        <v>115</v>
      </c>
      <c r="C40" s="224" t="s">
        <v>94</v>
      </c>
      <c r="D40" s="224" t="s">
        <v>53</v>
      </c>
      <c r="E40" s="224">
        <v>2019</v>
      </c>
      <c r="F40" s="175"/>
      <c r="G40" s="236">
        <f t="shared" si="7"/>
        <v>897.6</v>
      </c>
      <c r="H40" s="236">
        <v>816</v>
      </c>
      <c r="I40" s="236">
        <v>81.6</v>
      </c>
      <c r="J40" s="236">
        <v>897.6</v>
      </c>
      <c r="K40" s="236">
        <v>816</v>
      </c>
      <c r="L40" s="236">
        <v>81.6</v>
      </c>
      <c r="M40" s="236">
        <v>0</v>
      </c>
      <c r="N40" s="236">
        <v>0</v>
      </c>
      <c r="O40" s="236">
        <v>0</v>
      </c>
      <c r="P40" s="236">
        <f>Q40+R40</f>
        <v>100</v>
      </c>
      <c r="Q40" s="236">
        <v>100</v>
      </c>
      <c r="R40" s="236">
        <v>0</v>
      </c>
      <c r="S40" s="221"/>
    </row>
    <row r="41" spans="1:19" s="222" customFormat="1" ht="52.5" customHeight="1">
      <c r="A41" s="219" t="s">
        <v>5</v>
      </c>
      <c r="B41" s="55" t="s">
        <v>224</v>
      </c>
      <c r="C41" s="220" t="s">
        <v>117</v>
      </c>
      <c r="D41" s="220" t="s">
        <v>53</v>
      </c>
      <c r="E41" s="220" t="s">
        <v>118</v>
      </c>
      <c r="F41" s="227"/>
      <c r="G41" s="236">
        <f>H41+I41</f>
        <v>1491.6</v>
      </c>
      <c r="H41" s="236">
        <v>1356</v>
      </c>
      <c r="I41" s="236">
        <v>135.6</v>
      </c>
      <c r="J41" s="236">
        <v>1491.6</v>
      </c>
      <c r="K41" s="236">
        <v>1356</v>
      </c>
      <c r="L41" s="236">
        <v>135.6</v>
      </c>
      <c r="M41" s="236">
        <v>0</v>
      </c>
      <c r="N41" s="236">
        <v>0</v>
      </c>
      <c r="O41" s="236">
        <v>0</v>
      </c>
      <c r="P41" s="236">
        <f>Q41+R41</f>
        <v>120</v>
      </c>
      <c r="Q41" s="236">
        <v>120</v>
      </c>
      <c r="R41" s="236">
        <v>0</v>
      </c>
      <c r="S41" s="221"/>
    </row>
    <row r="42" spans="1:19" s="222" customFormat="1" ht="48" customHeight="1">
      <c r="A42" s="219" t="s">
        <v>5</v>
      </c>
      <c r="B42" s="55" t="s">
        <v>201</v>
      </c>
      <c r="C42" s="226" t="s">
        <v>202</v>
      </c>
      <c r="D42" s="224" t="s">
        <v>53</v>
      </c>
      <c r="E42" s="224">
        <v>2020</v>
      </c>
      <c r="F42" s="227"/>
      <c r="G42" s="236">
        <v>1831.5</v>
      </c>
      <c r="H42" s="236">
        <v>1665</v>
      </c>
      <c r="I42" s="236">
        <v>166.5</v>
      </c>
      <c r="J42" s="236"/>
      <c r="K42" s="236"/>
      <c r="L42" s="236"/>
      <c r="M42" s="236"/>
      <c r="N42" s="236"/>
      <c r="O42" s="236"/>
      <c r="P42" s="236">
        <v>100</v>
      </c>
      <c r="Q42" s="236">
        <v>100</v>
      </c>
      <c r="R42" s="236"/>
      <c r="S42" s="221"/>
    </row>
    <row r="43" spans="1:19" s="222" customFormat="1" ht="54" customHeight="1">
      <c r="A43" s="219" t="s">
        <v>5</v>
      </c>
      <c r="B43" s="55" t="s">
        <v>199</v>
      </c>
      <c r="C43" s="224" t="s">
        <v>200</v>
      </c>
      <c r="D43" s="224" t="s">
        <v>53</v>
      </c>
      <c r="E43" s="224">
        <v>2020</v>
      </c>
      <c r="F43" s="227"/>
      <c r="G43" s="236">
        <v>737.5</v>
      </c>
      <c r="H43" s="236">
        <v>670.5</v>
      </c>
      <c r="I43" s="236">
        <v>67</v>
      </c>
      <c r="J43" s="236"/>
      <c r="K43" s="236"/>
      <c r="L43" s="236"/>
      <c r="M43" s="236"/>
      <c r="N43" s="236"/>
      <c r="O43" s="236"/>
      <c r="P43" s="236">
        <v>50</v>
      </c>
      <c r="Q43" s="236">
        <v>50</v>
      </c>
      <c r="R43" s="236"/>
      <c r="S43" s="221"/>
    </row>
    <row r="44" spans="1:19" s="222" customFormat="1" ht="41.25" customHeight="1">
      <c r="A44" s="219" t="s">
        <v>5</v>
      </c>
      <c r="B44" s="55" t="s">
        <v>97</v>
      </c>
      <c r="C44" s="224" t="s">
        <v>99</v>
      </c>
      <c r="D44" s="224" t="s">
        <v>96</v>
      </c>
      <c r="E44" s="224">
        <v>2019</v>
      </c>
      <c r="F44" s="175"/>
      <c r="G44" s="236">
        <f t="shared" si="7"/>
        <v>715</v>
      </c>
      <c r="H44" s="236">
        <v>650</v>
      </c>
      <c r="I44" s="236">
        <v>65</v>
      </c>
      <c r="J44" s="236">
        <v>715</v>
      </c>
      <c r="K44" s="236">
        <v>650</v>
      </c>
      <c r="L44" s="236">
        <v>65</v>
      </c>
      <c r="M44" s="236">
        <v>0</v>
      </c>
      <c r="N44" s="236">
        <v>0</v>
      </c>
      <c r="O44" s="236">
        <v>0</v>
      </c>
      <c r="P44" s="236">
        <v>50</v>
      </c>
      <c r="Q44" s="236">
        <v>50</v>
      </c>
      <c r="R44" s="236">
        <v>0</v>
      </c>
      <c r="S44" s="221"/>
    </row>
    <row r="45" spans="1:19" s="222" customFormat="1" ht="45.75" customHeight="1">
      <c r="A45" s="219" t="s">
        <v>5</v>
      </c>
      <c r="B45" s="55" t="s">
        <v>119</v>
      </c>
      <c r="C45" s="220" t="s">
        <v>120</v>
      </c>
      <c r="D45" s="220" t="s">
        <v>96</v>
      </c>
      <c r="E45" s="220" t="s">
        <v>118</v>
      </c>
      <c r="F45" s="227"/>
      <c r="G45" s="236">
        <f t="shared" si="7"/>
        <v>9562.3</v>
      </c>
      <c r="H45" s="236">
        <v>8693</v>
      </c>
      <c r="I45" s="236">
        <v>869.3</v>
      </c>
      <c r="J45" s="236">
        <v>9562.3</v>
      </c>
      <c r="K45" s="236">
        <v>8693</v>
      </c>
      <c r="L45" s="236">
        <v>869.3</v>
      </c>
      <c r="M45" s="236">
        <v>0</v>
      </c>
      <c r="N45" s="236">
        <v>0</v>
      </c>
      <c r="O45" s="236">
        <v>0</v>
      </c>
      <c r="P45" s="236">
        <v>150</v>
      </c>
      <c r="Q45" s="236">
        <v>150</v>
      </c>
      <c r="R45" s="236">
        <v>0</v>
      </c>
      <c r="S45" s="221"/>
    </row>
    <row r="46" spans="1:19" ht="30" customHeight="1">
      <c r="A46" s="112">
        <v>2</v>
      </c>
      <c r="B46" s="112" t="s">
        <v>192</v>
      </c>
      <c r="C46" s="112"/>
      <c r="D46" s="112"/>
      <c r="E46" s="126"/>
      <c r="F46" s="181"/>
      <c r="G46" s="235">
        <f>G47+G49</f>
        <v>3913.4</v>
      </c>
      <c r="H46" s="235">
        <f aca="true" t="shared" si="8" ref="H46:R46">H47+H49</f>
        <v>3761</v>
      </c>
      <c r="I46" s="235">
        <f t="shared" si="8"/>
        <v>152.4</v>
      </c>
      <c r="J46" s="235">
        <f t="shared" si="8"/>
        <v>24593.55</v>
      </c>
      <c r="K46" s="235">
        <f t="shared" si="8"/>
        <v>22342.68</v>
      </c>
      <c r="L46" s="235">
        <f t="shared" si="8"/>
        <v>2250.47</v>
      </c>
      <c r="M46" s="235">
        <f t="shared" si="8"/>
        <v>2237</v>
      </c>
      <c r="N46" s="235">
        <f t="shared" si="8"/>
        <v>2237</v>
      </c>
      <c r="O46" s="235">
        <f t="shared" si="8"/>
        <v>0</v>
      </c>
      <c r="P46" s="235">
        <f t="shared" si="8"/>
        <v>8810.4</v>
      </c>
      <c r="Q46" s="235">
        <f t="shared" si="8"/>
        <v>7650</v>
      </c>
      <c r="R46" s="235">
        <f t="shared" si="8"/>
        <v>1160</v>
      </c>
      <c r="S46" s="140"/>
    </row>
    <row r="47" spans="1:19" ht="37.5" customHeight="1">
      <c r="A47" s="127" t="s">
        <v>18</v>
      </c>
      <c r="B47" s="127" t="s">
        <v>91</v>
      </c>
      <c r="C47" s="127"/>
      <c r="D47" s="127"/>
      <c r="E47" s="127"/>
      <c r="F47" s="131"/>
      <c r="G47" s="230">
        <f aca="true" t="shared" si="9" ref="G47:R47">SUM(G48:G48)</f>
        <v>3913.4</v>
      </c>
      <c r="H47" s="230">
        <f t="shared" si="9"/>
        <v>3761</v>
      </c>
      <c r="I47" s="230">
        <f t="shared" si="9"/>
        <v>152.4</v>
      </c>
      <c r="J47" s="100">
        <f t="shared" si="9"/>
        <v>3913.4</v>
      </c>
      <c r="K47" s="100">
        <f t="shared" si="9"/>
        <v>3761</v>
      </c>
      <c r="L47" s="100">
        <f t="shared" si="9"/>
        <v>152</v>
      </c>
      <c r="M47" s="230">
        <f t="shared" si="9"/>
        <v>2237</v>
      </c>
      <c r="N47" s="230">
        <f t="shared" si="9"/>
        <v>2237</v>
      </c>
      <c r="O47" s="230">
        <f t="shared" si="9"/>
        <v>0</v>
      </c>
      <c r="P47" s="230">
        <f t="shared" si="9"/>
        <v>1676.4</v>
      </c>
      <c r="Q47" s="230">
        <f t="shared" si="9"/>
        <v>1524</v>
      </c>
      <c r="R47" s="230">
        <f t="shared" si="9"/>
        <v>152</v>
      </c>
      <c r="S47" s="140"/>
    </row>
    <row r="48" spans="1:20" ht="45.75" customHeight="1">
      <c r="A48" s="128">
        <v>1</v>
      </c>
      <c r="B48" s="129" t="s">
        <v>93</v>
      </c>
      <c r="C48" s="130" t="s">
        <v>95</v>
      </c>
      <c r="D48" s="130" t="s">
        <v>51</v>
      </c>
      <c r="E48" s="130" t="s">
        <v>66</v>
      </c>
      <c r="F48" s="133"/>
      <c r="G48" s="238">
        <v>3913.4</v>
      </c>
      <c r="H48" s="238">
        <v>3761</v>
      </c>
      <c r="I48" s="238">
        <v>152.4</v>
      </c>
      <c r="J48" s="239">
        <f>M48+P48</f>
        <v>3913.4</v>
      </c>
      <c r="K48" s="239">
        <f>N48+Q48</f>
        <v>3761</v>
      </c>
      <c r="L48" s="239">
        <f>O48+R48</f>
        <v>152</v>
      </c>
      <c r="M48" s="240">
        <v>2237</v>
      </c>
      <c r="N48" s="240">
        <v>2237</v>
      </c>
      <c r="O48" s="240">
        <v>0</v>
      </c>
      <c r="P48" s="238">
        <v>1676.4</v>
      </c>
      <c r="Q48" s="238">
        <v>1524</v>
      </c>
      <c r="R48" s="238">
        <v>152</v>
      </c>
      <c r="S48" s="140"/>
      <c r="T48" s="157"/>
    </row>
    <row r="49" spans="1:19" ht="48.75" customHeight="1">
      <c r="A49" s="112" t="s">
        <v>21</v>
      </c>
      <c r="B49" s="112" t="s">
        <v>205</v>
      </c>
      <c r="C49" s="112"/>
      <c r="D49" s="112"/>
      <c r="E49" s="126"/>
      <c r="F49" s="181"/>
      <c r="G49" s="235">
        <f aca="true" t="shared" si="10" ref="G49:O49">SUM(G50:G58)</f>
        <v>0</v>
      </c>
      <c r="H49" s="235">
        <f t="shared" si="10"/>
        <v>0</v>
      </c>
      <c r="I49" s="235">
        <f t="shared" si="10"/>
        <v>0</v>
      </c>
      <c r="J49" s="235">
        <f t="shared" si="10"/>
        <v>20680.149999999998</v>
      </c>
      <c r="K49" s="235">
        <f t="shared" si="10"/>
        <v>18581.68</v>
      </c>
      <c r="L49" s="235">
        <f t="shared" si="10"/>
        <v>2098.47</v>
      </c>
      <c r="M49" s="235">
        <f t="shared" si="10"/>
        <v>0</v>
      </c>
      <c r="N49" s="235">
        <f t="shared" si="10"/>
        <v>0</v>
      </c>
      <c r="O49" s="235">
        <f t="shared" si="10"/>
        <v>0</v>
      </c>
      <c r="P49" s="235">
        <f>SUM(P50:P58)</f>
        <v>7134</v>
      </c>
      <c r="Q49" s="235">
        <f>SUM(Q50:Q58)</f>
        <v>6126</v>
      </c>
      <c r="R49" s="235">
        <f>SUM(R50:R58)</f>
        <v>1008</v>
      </c>
      <c r="S49" s="140"/>
    </row>
    <row r="50" spans="1:21" s="143" customFormat="1" ht="42.75" customHeight="1">
      <c r="A50" s="215">
        <v>1</v>
      </c>
      <c r="B50" s="216" t="s">
        <v>204</v>
      </c>
      <c r="C50" s="215" t="s">
        <v>215</v>
      </c>
      <c r="D50" s="215" t="s">
        <v>51</v>
      </c>
      <c r="E50" s="215">
        <v>2019</v>
      </c>
      <c r="F50" s="136"/>
      <c r="G50" s="241"/>
      <c r="H50" s="241"/>
      <c r="I50" s="241"/>
      <c r="J50" s="241">
        <v>1118.7</v>
      </c>
      <c r="K50" s="241">
        <v>1017</v>
      </c>
      <c r="L50" s="241">
        <v>101.7</v>
      </c>
      <c r="M50" s="241">
        <v>0</v>
      </c>
      <c r="N50" s="241">
        <v>0</v>
      </c>
      <c r="O50" s="241">
        <v>0</v>
      </c>
      <c r="P50" s="241">
        <f>Q50+R50</f>
        <v>899</v>
      </c>
      <c r="Q50" s="241">
        <f>1017-120-100</f>
        <v>797</v>
      </c>
      <c r="R50" s="241">
        <v>102</v>
      </c>
      <c r="S50" s="353" t="s">
        <v>229</v>
      </c>
      <c r="T50" s="354"/>
      <c r="U50" s="354"/>
    </row>
    <row r="51" spans="1:21" s="143" customFormat="1" ht="33" customHeight="1">
      <c r="A51" s="215">
        <v>2</v>
      </c>
      <c r="B51" s="216" t="s">
        <v>112</v>
      </c>
      <c r="C51" s="217" t="s">
        <v>123</v>
      </c>
      <c r="D51" s="215" t="s">
        <v>53</v>
      </c>
      <c r="E51" s="215">
        <v>2019</v>
      </c>
      <c r="F51" s="137"/>
      <c r="G51" s="241"/>
      <c r="H51" s="241"/>
      <c r="I51" s="241"/>
      <c r="J51" s="241">
        <v>574.75</v>
      </c>
      <c r="K51" s="241">
        <v>522.5</v>
      </c>
      <c r="L51" s="241">
        <v>52.25</v>
      </c>
      <c r="M51" s="241">
        <v>0</v>
      </c>
      <c r="N51" s="241">
        <v>0</v>
      </c>
      <c r="O51" s="241">
        <v>0</v>
      </c>
      <c r="P51" s="241">
        <f aca="true" t="shared" si="11" ref="P51:P58">Q51+R51</f>
        <v>525</v>
      </c>
      <c r="Q51" s="241">
        <f>523-50</f>
        <v>473</v>
      </c>
      <c r="R51" s="241">
        <v>52</v>
      </c>
      <c r="S51" s="353"/>
      <c r="T51" s="354"/>
      <c r="U51" s="354"/>
    </row>
    <row r="52" spans="1:21" s="143" customFormat="1" ht="33" customHeight="1">
      <c r="A52" s="215">
        <v>3</v>
      </c>
      <c r="B52" s="216" t="s">
        <v>114</v>
      </c>
      <c r="C52" s="215" t="s">
        <v>94</v>
      </c>
      <c r="D52" s="215" t="s">
        <v>53</v>
      </c>
      <c r="E52" s="215">
        <v>2019</v>
      </c>
      <c r="F52" s="137"/>
      <c r="G52" s="241"/>
      <c r="H52" s="241"/>
      <c r="I52" s="241"/>
      <c r="J52" s="241">
        <v>792</v>
      </c>
      <c r="K52" s="241">
        <v>720</v>
      </c>
      <c r="L52" s="241">
        <v>72</v>
      </c>
      <c r="M52" s="241">
        <v>0</v>
      </c>
      <c r="N52" s="241">
        <v>0</v>
      </c>
      <c r="O52" s="241">
        <v>0</v>
      </c>
      <c r="P52" s="241">
        <f t="shared" si="11"/>
        <v>642</v>
      </c>
      <c r="Q52" s="241">
        <f>720-100-50</f>
        <v>570</v>
      </c>
      <c r="R52" s="241">
        <v>72</v>
      </c>
      <c r="S52" s="353"/>
      <c r="T52" s="354"/>
      <c r="U52" s="354"/>
    </row>
    <row r="53" spans="1:21" s="143" customFormat="1" ht="33" customHeight="1">
      <c r="A53" s="215">
        <v>4</v>
      </c>
      <c r="B53" s="216" t="s">
        <v>115</v>
      </c>
      <c r="C53" s="215" t="s">
        <v>94</v>
      </c>
      <c r="D53" s="215" t="s">
        <v>53</v>
      </c>
      <c r="E53" s="215">
        <v>2019</v>
      </c>
      <c r="F53" s="137"/>
      <c r="G53" s="241"/>
      <c r="H53" s="241"/>
      <c r="I53" s="241"/>
      <c r="J53" s="241">
        <v>897.6</v>
      </c>
      <c r="K53" s="241">
        <v>816</v>
      </c>
      <c r="L53" s="241">
        <v>81.6</v>
      </c>
      <c r="M53" s="241">
        <v>0</v>
      </c>
      <c r="N53" s="241">
        <v>0</v>
      </c>
      <c r="O53" s="241">
        <v>0</v>
      </c>
      <c r="P53" s="241">
        <f t="shared" si="11"/>
        <v>748</v>
      </c>
      <c r="Q53" s="241">
        <f>816-100-50</f>
        <v>666</v>
      </c>
      <c r="R53" s="241">
        <v>82</v>
      </c>
      <c r="S53" s="353"/>
      <c r="T53" s="354"/>
      <c r="U53" s="354"/>
    </row>
    <row r="54" spans="1:21" s="143" customFormat="1" ht="33" customHeight="1">
      <c r="A54" s="215">
        <v>5</v>
      </c>
      <c r="B54" s="216" t="s">
        <v>97</v>
      </c>
      <c r="C54" s="215" t="s">
        <v>99</v>
      </c>
      <c r="D54" s="215" t="s">
        <v>96</v>
      </c>
      <c r="E54" s="215">
        <v>2019</v>
      </c>
      <c r="F54" s="137"/>
      <c r="G54" s="241"/>
      <c r="H54" s="241"/>
      <c r="I54" s="241"/>
      <c r="J54" s="241">
        <v>715</v>
      </c>
      <c r="K54" s="241">
        <v>650</v>
      </c>
      <c r="L54" s="241">
        <v>65</v>
      </c>
      <c r="M54" s="241">
        <v>0</v>
      </c>
      <c r="N54" s="241">
        <v>0</v>
      </c>
      <c r="O54" s="241">
        <v>0</v>
      </c>
      <c r="P54" s="241">
        <f t="shared" si="11"/>
        <v>615</v>
      </c>
      <c r="Q54" s="241">
        <f>650-50-50</f>
        <v>550</v>
      </c>
      <c r="R54" s="241">
        <v>65</v>
      </c>
      <c r="S54" s="353"/>
      <c r="T54" s="354"/>
      <c r="U54" s="354"/>
    </row>
    <row r="55" spans="1:21" s="143" customFormat="1" ht="33" customHeight="1">
      <c r="A55" s="215">
        <v>6</v>
      </c>
      <c r="B55" s="216" t="s">
        <v>110</v>
      </c>
      <c r="C55" s="134" t="s">
        <v>111</v>
      </c>
      <c r="D55" s="134" t="s">
        <v>51</v>
      </c>
      <c r="E55" s="134">
        <v>2019</v>
      </c>
      <c r="F55" s="134"/>
      <c r="G55" s="241"/>
      <c r="H55" s="241"/>
      <c r="I55" s="241"/>
      <c r="J55" s="241">
        <v>3531.7</v>
      </c>
      <c r="K55" s="241">
        <v>2992.18</v>
      </c>
      <c r="L55" s="241">
        <v>539.52</v>
      </c>
      <c r="M55" s="241">
        <v>0</v>
      </c>
      <c r="N55" s="241">
        <v>0</v>
      </c>
      <c r="O55" s="241">
        <v>0</v>
      </c>
      <c r="P55" s="241">
        <f t="shared" si="11"/>
        <v>1094</v>
      </c>
      <c r="Q55" s="241">
        <f>950-120-100</f>
        <v>730</v>
      </c>
      <c r="R55" s="241">
        <v>364</v>
      </c>
      <c r="S55" s="353"/>
      <c r="T55" s="354"/>
      <c r="U55" s="354"/>
    </row>
    <row r="56" spans="1:21" s="143" customFormat="1" ht="33" customHeight="1">
      <c r="A56" s="215">
        <v>7</v>
      </c>
      <c r="B56" s="216" t="s">
        <v>116</v>
      </c>
      <c r="C56" s="134" t="s">
        <v>117</v>
      </c>
      <c r="D56" s="134" t="s">
        <v>53</v>
      </c>
      <c r="E56" s="134" t="s">
        <v>118</v>
      </c>
      <c r="F56" s="135"/>
      <c r="G56" s="241"/>
      <c r="H56" s="241"/>
      <c r="I56" s="241"/>
      <c r="J56" s="241">
        <v>1491.6</v>
      </c>
      <c r="K56" s="241">
        <v>1356</v>
      </c>
      <c r="L56" s="241">
        <v>135.6</v>
      </c>
      <c r="M56" s="241">
        <v>0</v>
      </c>
      <c r="N56" s="241">
        <v>0</v>
      </c>
      <c r="O56" s="241">
        <v>0</v>
      </c>
      <c r="P56" s="241">
        <f t="shared" si="11"/>
        <v>375</v>
      </c>
      <c r="Q56" s="241">
        <f>450-120</f>
        <v>330</v>
      </c>
      <c r="R56" s="241">
        <v>45</v>
      </c>
      <c r="S56" s="353"/>
      <c r="T56" s="354"/>
      <c r="U56" s="354"/>
    </row>
    <row r="57" spans="1:21" s="143" customFormat="1" ht="33" customHeight="1">
      <c r="A57" s="215">
        <v>8</v>
      </c>
      <c r="B57" s="216" t="s">
        <v>119</v>
      </c>
      <c r="C57" s="134" t="s">
        <v>120</v>
      </c>
      <c r="D57" s="134" t="s">
        <v>96</v>
      </c>
      <c r="E57" s="134" t="s">
        <v>118</v>
      </c>
      <c r="F57" s="135"/>
      <c r="G57" s="241"/>
      <c r="H57" s="241"/>
      <c r="I57" s="241"/>
      <c r="J57" s="241">
        <v>9562.3</v>
      </c>
      <c r="K57" s="241">
        <v>8693</v>
      </c>
      <c r="L57" s="241">
        <v>869.3</v>
      </c>
      <c r="M57" s="241">
        <v>0</v>
      </c>
      <c r="N57" s="241">
        <v>0</v>
      </c>
      <c r="O57" s="241">
        <v>0</v>
      </c>
      <c r="P57" s="241">
        <f t="shared" si="11"/>
        <v>1731</v>
      </c>
      <c r="Q57" s="241">
        <f>1710-150</f>
        <v>1560</v>
      </c>
      <c r="R57" s="241">
        <v>171</v>
      </c>
      <c r="S57" s="353"/>
      <c r="T57" s="354"/>
      <c r="U57" s="354"/>
    </row>
    <row r="58" spans="1:21" s="143" customFormat="1" ht="33" customHeight="1">
      <c r="A58" s="215">
        <v>9</v>
      </c>
      <c r="B58" s="216" t="s">
        <v>113</v>
      </c>
      <c r="C58" s="134" t="s">
        <v>94</v>
      </c>
      <c r="D58" s="134" t="s">
        <v>53</v>
      </c>
      <c r="E58" s="134" t="s">
        <v>118</v>
      </c>
      <c r="F58" s="135"/>
      <c r="G58" s="241"/>
      <c r="H58" s="241"/>
      <c r="I58" s="241"/>
      <c r="J58" s="241">
        <v>1996.5</v>
      </c>
      <c r="K58" s="241">
        <v>1815</v>
      </c>
      <c r="L58" s="241">
        <v>181.5</v>
      </c>
      <c r="M58" s="241">
        <v>0</v>
      </c>
      <c r="N58" s="241">
        <v>0</v>
      </c>
      <c r="O58" s="241">
        <v>0</v>
      </c>
      <c r="P58" s="241">
        <f t="shared" si="11"/>
        <v>505</v>
      </c>
      <c r="Q58" s="241">
        <f>550-100</f>
        <v>450</v>
      </c>
      <c r="R58" s="241">
        <v>55</v>
      </c>
      <c r="S58" s="353"/>
      <c r="T58" s="354"/>
      <c r="U58" s="354"/>
    </row>
    <row r="59" spans="1:18" ht="15">
      <c r="A59" s="355" t="s">
        <v>227</v>
      </c>
      <c r="B59" s="355"/>
      <c r="C59" s="355"/>
      <c r="D59" s="355"/>
      <c r="E59" s="355"/>
      <c r="F59" s="355"/>
      <c r="G59" s="355"/>
      <c r="H59" s="355"/>
      <c r="I59" s="355"/>
      <c r="J59" s="355"/>
      <c r="K59" s="355"/>
      <c r="L59" s="355"/>
      <c r="M59" s="355"/>
      <c r="N59" s="355"/>
      <c r="O59" s="355"/>
      <c r="P59" s="355"/>
      <c r="Q59" s="355"/>
      <c r="R59" s="355"/>
    </row>
    <row r="60" spans="1:18" ht="15">
      <c r="A60" s="305"/>
      <c r="B60" s="305"/>
      <c r="C60" s="305"/>
      <c r="D60" s="305"/>
      <c r="E60" s="305"/>
      <c r="F60" s="305"/>
      <c r="G60" s="305"/>
      <c r="H60" s="305"/>
      <c r="I60" s="305"/>
      <c r="J60" s="305"/>
      <c r="K60" s="305"/>
      <c r="L60" s="305"/>
      <c r="M60" s="305"/>
      <c r="N60" s="305"/>
      <c r="O60" s="305"/>
      <c r="P60" s="305"/>
      <c r="Q60" s="305"/>
      <c r="R60" s="305"/>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10" bestFit="1" customWidth="1"/>
    <col min="2" max="2" width="49.7109375" style="8" customWidth="1"/>
    <col min="3" max="3" width="13.57421875" style="10" customWidth="1"/>
    <col min="4" max="4" width="12.140625" style="10" customWidth="1"/>
    <col min="5" max="5" width="14.00390625" style="10" customWidth="1"/>
    <col min="6" max="6" width="10.8515625" style="8" hidden="1" customWidth="1"/>
    <col min="7" max="7" width="9.8515625" style="8" customWidth="1"/>
    <col min="8" max="8" width="10.140625" style="8" customWidth="1"/>
    <col min="9" max="9" width="9.421875" style="8" customWidth="1"/>
    <col min="10" max="10" width="9.140625" style="66" hidden="1" customWidth="1"/>
    <col min="11" max="11" width="7.8515625" style="66" hidden="1" customWidth="1"/>
    <col min="12" max="12" width="9.140625" style="66" hidden="1" customWidth="1"/>
    <col min="13" max="13" width="8.8515625" style="8" customWidth="1"/>
    <col min="14" max="14" width="10.00390625" style="8" customWidth="1"/>
    <col min="15" max="15" width="9.140625" style="8" customWidth="1"/>
    <col min="16" max="17" width="9.57421875" style="8" customWidth="1"/>
    <col min="18" max="18" width="8.421875" style="8" customWidth="1"/>
    <col min="19" max="19" width="13.8515625" style="66" hidden="1" customWidth="1"/>
    <col min="20" max="21" width="9.140625" style="8" hidden="1" customWidth="1"/>
    <col min="22" max="22" width="28.28125" style="8" hidden="1" customWidth="1"/>
    <col min="23" max="23" width="13.8515625" style="8" hidden="1" customWidth="1"/>
    <col min="24" max="24" width="31.8515625" style="8" customWidth="1"/>
    <col min="25" max="16384" width="9.140625" style="8" customWidth="1"/>
  </cols>
  <sheetData>
    <row r="1" spans="1:19" ht="18">
      <c r="A1" s="333" t="s">
        <v>100</v>
      </c>
      <c r="B1" s="333"/>
      <c r="C1" s="333"/>
      <c r="D1" s="333"/>
      <c r="E1" s="333"/>
      <c r="F1" s="333"/>
      <c r="G1" s="333"/>
      <c r="H1" s="333"/>
      <c r="I1" s="333"/>
      <c r="J1" s="333"/>
      <c r="K1" s="333"/>
      <c r="L1" s="333"/>
      <c r="M1" s="333"/>
      <c r="N1" s="333"/>
      <c r="O1" s="333"/>
      <c r="P1" s="333"/>
      <c r="Q1" s="333"/>
      <c r="R1" s="333"/>
      <c r="S1" s="333"/>
    </row>
    <row r="2" spans="1:23" ht="18.75" hidden="1">
      <c r="A2" s="334" t="e">
        <f>'B.01_TH'!#REF!</f>
        <v>#REF!</v>
      </c>
      <c r="B2" s="334"/>
      <c r="C2" s="334"/>
      <c r="D2" s="334"/>
      <c r="E2" s="334"/>
      <c r="F2" s="334"/>
      <c r="G2" s="334"/>
      <c r="H2" s="334"/>
      <c r="I2" s="334"/>
      <c r="J2" s="334"/>
      <c r="K2" s="334"/>
      <c r="L2" s="334"/>
      <c r="M2" s="334"/>
      <c r="N2" s="334"/>
      <c r="O2" s="334"/>
      <c r="P2" s="334"/>
      <c r="Q2" s="334"/>
      <c r="R2" s="334"/>
      <c r="S2" s="98"/>
      <c r="W2" s="79"/>
    </row>
    <row r="3" spans="1:23" ht="18.75" customHeight="1">
      <c r="A3" s="334" t="e">
        <f>'B.01_TH'!#REF!</f>
        <v>#REF!</v>
      </c>
      <c r="B3" s="334"/>
      <c r="C3" s="334"/>
      <c r="D3" s="334"/>
      <c r="E3" s="334"/>
      <c r="F3" s="334"/>
      <c r="G3" s="334"/>
      <c r="H3" s="334"/>
      <c r="I3" s="334"/>
      <c r="J3" s="334"/>
      <c r="K3" s="334"/>
      <c r="L3" s="334"/>
      <c r="M3" s="334"/>
      <c r="N3" s="334"/>
      <c r="O3" s="334"/>
      <c r="P3" s="334"/>
      <c r="Q3" s="334"/>
      <c r="R3" s="334"/>
      <c r="S3" s="98"/>
      <c r="W3" s="79"/>
    </row>
    <row r="4" spans="1:23" ht="24" customHeight="1" hidden="1">
      <c r="A4" s="334" t="e">
        <f>'B.01_TH'!#REF!</f>
        <v>#REF!</v>
      </c>
      <c r="B4" s="334"/>
      <c r="C4" s="334"/>
      <c r="D4" s="334"/>
      <c r="E4" s="334"/>
      <c r="F4" s="334"/>
      <c r="G4" s="334"/>
      <c r="H4" s="334"/>
      <c r="I4" s="334"/>
      <c r="J4" s="334"/>
      <c r="K4" s="334"/>
      <c r="L4" s="334"/>
      <c r="M4" s="334"/>
      <c r="N4" s="334"/>
      <c r="O4" s="334"/>
      <c r="P4" s="334"/>
      <c r="Q4" s="334"/>
      <c r="R4" s="334"/>
      <c r="S4" s="98"/>
      <c r="W4" s="79"/>
    </row>
    <row r="5" spans="1:23" ht="24" customHeight="1" hidden="1">
      <c r="A5" s="334" t="s">
        <v>156</v>
      </c>
      <c r="B5" s="334"/>
      <c r="C5" s="334"/>
      <c r="D5" s="334"/>
      <c r="E5" s="334"/>
      <c r="F5" s="334"/>
      <c r="G5" s="334"/>
      <c r="H5" s="334"/>
      <c r="I5" s="334"/>
      <c r="J5" s="334"/>
      <c r="K5" s="334"/>
      <c r="L5" s="334"/>
      <c r="M5" s="334"/>
      <c r="N5" s="334"/>
      <c r="O5" s="334"/>
      <c r="P5" s="334"/>
      <c r="Q5" s="334"/>
      <c r="R5" s="334"/>
      <c r="S5" s="98"/>
      <c r="W5" s="151"/>
    </row>
    <row r="6" spans="1:23" ht="24" customHeight="1" hidden="1">
      <c r="A6" s="334" t="e">
        <f>'B.01_TH'!#REF!</f>
        <v>#REF!</v>
      </c>
      <c r="B6" s="334"/>
      <c r="C6" s="334"/>
      <c r="D6" s="334"/>
      <c r="E6" s="334"/>
      <c r="F6" s="334"/>
      <c r="G6" s="334"/>
      <c r="H6" s="334"/>
      <c r="I6" s="334"/>
      <c r="J6" s="334"/>
      <c r="K6" s="334"/>
      <c r="L6" s="334"/>
      <c r="M6" s="334"/>
      <c r="N6" s="334"/>
      <c r="O6" s="334"/>
      <c r="P6" s="334"/>
      <c r="Q6" s="334"/>
      <c r="R6" s="334"/>
      <c r="S6" s="98"/>
      <c r="W6" s="252"/>
    </row>
    <row r="7" spans="16:19" ht="16.5">
      <c r="P7" s="332" t="s">
        <v>125</v>
      </c>
      <c r="Q7" s="332"/>
      <c r="R7" s="332"/>
      <c r="S7" s="332"/>
    </row>
    <row r="8" spans="1:23" s="12" customFormat="1" ht="42.75" customHeight="1">
      <c r="A8" s="329" t="s">
        <v>1</v>
      </c>
      <c r="B8" s="329" t="s">
        <v>55</v>
      </c>
      <c r="C8" s="329" t="s">
        <v>9</v>
      </c>
      <c r="D8" s="329" t="s">
        <v>63</v>
      </c>
      <c r="E8" s="329" t="s">
        <v>56</v>
      </c>
      <c r="F8" s="329" t="s">
        <v>126</v>
      </c>
      <c r="G8" s="329"/>
      <c r="H8" s="329"/>
      <c r="I8" s="329"/>
      <c r="J8" s="325" t="s">
        <v>57</v>
      </c>
      <c r="K8" s="325"/>
      <c r="L8" s="325"/>
      <c r="M8" s="329" t="s">
        <v>109</v>
      </c>
      <c r="N8" s="329"/>
      <c r="O8" s="329"/>
      <c r="P8" s="329" t="s">
        <v>87</v>
      </c>
      <c r="Q8" s="329"/>
      <c r="R8" s="329"/>
      <c r="S8" s="325" t="s">
        <v>3</v>
      </c>
      <c r="W8" s="329" t="s">
        <v>3</v>
      </c>
    </row>
    <row r="9" spans="1:23" s="12" customFormat="1" ht="18" customHeight="1">
      <c r="A9" s="329"/>
      <c r="B9" s="329"/>
      <c r="C9" s="329"/>
      <c r="D9" s="329"/>
      <c r="E9" s="329"/>
      <c r="F9" s="329"/>
      <c r="G9" s="329" t="s">
        <v>16</v>
      </c>
      <c r="H9" s="329" t="s">
        <v>17</v>
      </c>
      <c r="I9" s="329"/>
      <c r="J9" s="325" t="s">
        <v>16</v>
      </c>
      <c r="K9" s="325" t="s">
        <v>17</v>
      </c>
      <c r="L9" s="325"/>
      <c r="M9" s="329" t="s">
        <v>16</v>
      </c>
      <c r="N9" s="329" t="s">
        <v>17</v>
      </c>
      <c r="O9" s="329"/>
      <c r="P9" s="329" t="s">
        <v>16</v>
      </c>
      <c r="Q9" s="329" t="s">
        <v>17</v>
      </c>
      <c r="R9" s="329"/>
      <c r="S9" s="325"/>
      <c r="W9" s="329"/>
    </row>
    <row r="10" spans="1:23" s="12" customFormat="1" ht="15" customHeight="1">
      <c r="A10" s="329"/>
      <c r="B10" s="329"/>
      <c r="C10" s="329"/>
      <c r="D10" s="329"/>
      <c r="E10" s="329"/>
      <c r="F10" s="329"/>
      <c r="G10" s="329"/>
      <c r="H10" s="329" t="s">
        <v>58</v>
      </c>
      <c r="I10" s="329" t="s">
        <v>59</v>
      </c>
      <c r="J10" s="325"/>
      <c r="K10" s="325" t="s">
        <v>58</v>
      </c>
      <c r="L10" s="325" t="s">
        <v>59</v>
      </c>
      <c r="M10" s="329"/>
      <c r="N10" s="329" t="s">
        <v>58</v>
      </c>
      <c r="O10" s="329" t="s">
        <v>59</v>
      </c>
      <c r="P10" s="329"/>
      <c r="Q10" s="329" t="s">
        <v>58</v>
      </c>
      <c r="R10" s="329" t="s">
        <v>59</v>
      </c>
      <c r="S10" s="325"/>
      <c r="W10" s="329"/>
    </row>
    <row r="11" spans="1:23" s="12" customFormat="1" ht="84" customHeight="1">
      <c r="A11" s="329"/>
      <c r="B11" s="329"/>
      <c r="C11" s="329"/>
      <c r="D11" s="329"/>
      <c r="E11" s="329"/>
      <c r="F11" s="329"/>
      <c r="G11" s="329"/>
      <c r="H11" s="329"/>
      <c r="I11" s="329"/>
      <c r="J11" s="325"/>
      <c r="K11" s="325"/>
      <c r="L11" s="325"/>
      <c r="M11" s="329"/>
      <c r="N11" s="329"/>
      <c r="O11" s="329"/>
      <c r="P11" s="329"/>
      <c r="Q11" s="329"/>
      <c r="R11" s="329"/>
      <c r="S11" s="325"/>
      <c r="W11" s="329"/>
    </row>
    <row r="12" spans="1:23" s="12" customFormat="1" ht="33" customHeight="1">
      <c r="A12" s="121"/>
      <c r="B12" s="121" t="s">
        <v>178</v>
      </c>
      <c r="C12" s="121"/>
      <c r="D12" s="121"/>
      <c r="E12" s="121"/>
      <c r="F12" s="121"/>
      <c r="G12" s="122">
        <f>G13+G39</f>
        <v>87043.2</v>
      </c>
      <c r="H12" s="122">
        <f aca="true" t="shared" si="0" ref="H12:R12">H13+H39</f>
        <v>80960</v>
      </c>
      <c r="I12" s="122">
        <f t="shared" si="0"/>
        <v>6083.2</v>
      </c>
      <c r="J12" s="122">
        <f t="shared" si="0"/>
        <v>6443.200000000001</v>
      </c>
      <c r="K12" s="122">
        <f t="shared" si="0"/>
        <v>5869</v>
      </c>
      <c r="L12" s="122">
        <f t="shared" si="0"/>
        <v>574.2</v>
      </c>
      <c r="M12" s="122">
        <f t="shared" si="0"/>
        <v>1165</v>
      </c>
      <c r="N12" s="122">
        <f t="shared" si="0"/>
        <v>1165</v>
      </c>
      <c r="O12" s="122">
        <f t="shared" si="0"/>
        <v>0</v>
      </c>
      <c r="P12" s="122">
        <f t="shared" si="0"/>
        <v>47179</v>
      </c>
      <c r="Q12" s="122">
        <f t="shared" si="0"/>
        <v>43780</v>
      </c>
      <c r="R12" s="122">
        <f t="shared" si="0"/>
        <v>3399</v>
      </c>
      <c r="S12" s="87"/>
      <c r="V12" s="31" t="e">
        <f>P12+#REF!</f>
        <v>#REF!</v>
      </c>
      <c r="W12" s="74"/>
    </row>
    <row r="13" spans="1:23" s="57" customFormat="1" ht="33" customHeight="1">
      <c r="A13" s="121"/>
      <c r="B13" s="121" t="s">
        <v>169</v>
      </c>
      <c r="C13" s="121"/>
      <c r="D13" s="121"/>
      <c r="E13" s="121"/>
      <c r="F13" s="121"/>
      <c r="G13" s="122">
        <f>G14+G23</f>
        <v>80600</v>
      </c>
      <c r="H13" s="122">
        <f aca="true" t="shared" si="1" ref="H13:R13">H14+H23</f>
        <v>75091</v>
      </c>
      <c r="I13" s="122">
        <f t="shared" si="1"/>
        <v>5509</v>
      </c>
      <c r="J13" s="122">
        <f t="shared" si="1"/>
        <v>0</v>
      </c>
      <c r="K13" s="122">
        <f t="shared" si="1"/>
        <v>0</v>
      </c>
      <c r="L13" s="122">
        <f t="shared" si="1"/>
        <v>0</v>
      </c>
      <c r="M13" s="122">
        <f t="shared" si="1"/>
        <v>0</v>
      </c>
      <c r="N13" s="122">
        <f t="shared" si="1"/>
        <v>0</v>
      </c>
      <c r="O13" s="122">
        <f t="shared" si="1"/>
        <v>0</v>
      </c>
      <c r="P13" s="122">
        <f t="shared" si="1"/>
        <v>42149</v>
      </c>
      <c r="Q13" s="122">
        <f t="shared" si="1"/>
        <v>39159</v>
      </c>
      <c r="R13" s="122">
        <f t="shared" si="1"/>
        <v>2990</v>
      </c>
      <c r="S13" s="87"/>
      <c r="V13" s="31"/>
      <c r="W13" s="74"/>
    </row>
    <row r="14" spans="1:23" s="57" customFormat="1" ht="33" customHeight="1">
      <c r="A14" s="24" t="s">
        <v>4</v>
      </c>
      <c r="B14" s="119" t="s">
        <v>170</v>
      </c>
      <c r="C14" s="24"/>
      <c r="D14" s="24"/>
      <c r="E14" s="24"/>
      <c r="F14" s="24"/>
      <c r="G14" s="120">
        <f>SUM(G15+G19)</f>
        <v>0</v>
      </c>
      <c r="H14" s="120">
        <f>SUM(H15+H19)</f>
        <v>0</v>
      </c>
      <c r="I14" s="120">
        <f aca="true" t="shared" si="2" ref="I14:R14">SUM(I15+I19)</f>
        <v>0</v>
      </c>
      <c r="J14" s="120">
        <f t="shared" si="2"/>
        <v>0</v>
      </c>
      <c r="K14" s="120">
        <f t="shared" si="2"/>
        <v>0</v>
      </c>
      <c r="L14" s="120">
        <f t="shared" si="2"/>
        <v>0</v>
      </c>
      <c r="M14" s="120">
        <f t="shared" si="2"/>
        <v>0</v>
      </c>
      <c r="N14" s="120">
        <f t="shared" si="2"/>
        <v>0</v>
      </c>
      <c r="O14" s="120">
        <f t="shared" si="2"/>
        <v>0</v>
      </c>
      <c r="P14" s="120">
        <f t="shared" si="2"/>
        <v>7110</v>
      </c>
      <c r="Q14" s="120">
        <f t="shared" si="2"/>
        <v>7110</v>
      </c>
      <c r="R14" s="120">
        <f t="shared" si="2"/>
        <v>0</v>
      </c>
      <c r="S14" s="87"/>
      <c r="V14" s="31" t="e">
        <f>Q1+#REF!</f>
        <v>#REF!</v>
      </c>
      <c r="W14" s="74"/>
    </row>
    <row r="15" spans="1:23" s="57" customFormat="1" ht="33" customHeight="1">
      <c r="A15" s="153">
        <v>1</v>
      </c>
      <c r="B15" s="53" t="s">
        <v>220</v>
      </c>
      <c r="C15" s="153"/>
      <c r="D15" s="153"/>
      <c r="E15" s="153"/>
      <c r="F15" s="153"/>
      <c r="G15" s="242"/>
      <c r="H15" s="242"/>
      <c r="I15" s="242"/>
      <c r="J15" s="113"/>
      <c r="K15" s="113"/>
      <c r="L15" s="113"/>
      <c r="M15" s="242"/>
      <c r="N15" s="242"/>
      <c r="O15" s="242"/>
      <c r="P15" s="242">
        <f>SUM(Q15:R15)</f>
        <v>2019</v>
      </c>
      <c r="Q15" s="242">
        <f>SUM(Q16:Q18)</f>
        <v>2019</v>
      </c>
      <c r="R15" s="242">
        <v>0</v>
      </c>
      <c r="S15" s="87"/>
      <c r="V15" s="31" t="e">
        <f>Q42+#REF!</f>
        <v>#REF!</v>
      </c>
      <c r="W15" s="74"/>
    </row>
    <row r="16" spans="1:27" ht="33" customHeight="1">
      <c r="A16" s="44" t="s">
        <v>5</v>
      </c>
      <c r="B16" s="55" t="s">
        <v>52</v>
      </c>
      <c r="C16" s="44"/>
      <c r="D16" s="44"/>
      <c r="E16" s="44"/>
      <c r="F16" s="80"/>
      <c r="G16" s="70"/>
      <c r="H16" s="70"/>
      <c r="I16" s="70"/>
      <c r="J16" s="114"/>
      <c r="K16" s="114"/>
      <c r="L16" s="114"/>
      <c r="M16" s="70"/>
      <c r="N16" s="70"/>
      <c r="O16" s="70"/>
      <c r="P16" s="70">
        <f aca="true" t="shared" si="3" ref="P16:P22">SUM(Q16:R16)</f>
        <v>673</v>
      </c>
      <c r="Q16" s="70">
        <v>673</v>
      </c>
      <c r="R16" s="70">
        <v>0</v>
      </c>
      <c r="S16" s="95"/>
      <c r="V16" s="42" t="e">
        <f>Q14+#REF!</f>
        <v>#REF!</v>
      </c>
      <c r="W16" s="71"/>
      <c r="AA16" s="138">
        <f>Q17+Q21+Q43+Q47+Q53+Q59</f>
        <v>2721</v>
      </c>
    </row>
    <row r="17" spans="1:27" s="40" customFormat="1" ht="33" customHeight="1">
      <c r="A17" s="48" t="s">
        <v>5</v>
      </c>
      <c r="B17" s="49" t="s">
        <v>53</v>
      </c>
      <c r="C17" s="48"/>
      <c r="D17" s="48"/>
      <c r="E17" s="48"/>
      <c r="F17" s="81"/>
      <c r="G17" s="243"/>
      <c r="H17" s="243"/>
      <c r="I17" s="243"/>
      <c r="J17" s="244"/>
      <c r="K17" s="244"/>
      <c r="L17" s="244"/>
      <c r="M17" s="243"/>
      <c r="N17" s="243"/>
      <c r="O17" s="243"/>
      <c r="P17" s="70">
        <f t="shared" si="3"/>
        <v>673</v>
      </c>
      <c r="Q17" s="70">
        <v>673</v>
      </c>
      <c r="R17" s="243">
        <v>0</v>
      </c>
      <c r="S17" s="99"/>
      <c r="V17" s="43" t="e">
        <f>V15+V16</f>
        <v>#REF!</v>
      </c>
      <c r="W17" s="75"/>
      <c r="AA17" s="214">
        <f>Q18+Q22+Q44+Q48+Q54+Q60</f>
        <v>2706</v>
      </c>
    </row>
    <row r="18" spans="1:23" s="40" customFormat="1" ht="33" customHeight="1">
      <c r="A18" s="48" t="s">
        <v>5</v>
      </c>
      <c r="B18" s="49" t="s">
        <v>51</v>
      </c>
      <c r="C18" s="48"/>
      <c r="D18" s="48"/>
      <c r="E18" s="48"/>
      <c r="F18" s="81"/>
      <c r="G18" s="243"/>
      <c r="H18" s="243"/>
      <c r="I18" s="243"/>
      <c r="J18" s="244"/>
      <c r="K18" s="244"/>
      <c r="L18" s="244"/>
      <c r="M18" s="243"/>
      <c r="N18" s="243"/>
      <c r="O18" s="243"/>
      <c r="P18" s="70">
        <f t="shared" si="3"/>
        <v>673</v>
      </c>
      <c r="Q18" s="70">
        <v>673</v>
      </c>
      <c r="R18" s="243">
        <v>0</v>
      </c>
      <c r="S18" s="99"/>
      <c r="V18" s="43" t="e">
        <f>R1+#REF!</f>
        <v>#REF!</v>
      </c>
      <c r="W18" s="75"/>
    </row>
    <row r="19" spans="1:23" s="57" customFormat="1" ht="60.75" customHeight="1">
      <c r="A19" s="153">
        <v>2</v>
      </c>
      <c r="B19" s="53" t="s">
        <v>221</v>
      </c>
      <c r="C19" s="153"/>
      <c r="D19" s="153"/>
      <c r="E19" s="153"/>
      <c r="F19" s="153"/>
      <c r="G19" s="242"/>
      <c r="H19" s="242"/>
      <c r="I19" s="242"/>
      <c r="J19" s="113"/>
      <c r="K19" s="113"/>
      <c r="L19" s="113"/>
      <c r="M19" s="242"/>
      <c r="N19" s="242"/>
      <c r="O19" s="242"/>
      <c r="P19" s="242">
        <f t="shared" si="3"/>
        <v>5091</v>
      </c>
      <c r="Q19" s="242">
        <f>SUM(Q20:Q22)</f>
        <v>5091</v>
      </c>
      <c r="R19" s="242">
        <v>0</v>
      </c>
      <c r="S19" s="87"/>
      <c r="W19" s="74"/>
    </row>
    <row r="20" spans="1:23" s="40" customFormat="1" ht="33" customHeight="1">
      <c r="A20" s="48" t="s">
        <v>5</v>
      </c>
      <c r="B20" s="49" t="s">
        <v>52</v>
      </c>
      <c r="C20" s="48"/>
      <c r="D20" s="48"/>
      <c r="E20" s="48"/>
      <c r="F20" s="81"/>
      <c r="G20" s="243"/>
      <c r="H20" s="243"/>
      <c r="I20" s="243"/>
      <c r="J20" s="244"/>
      <c r="K20" s="244"/>
      <c r="L20" s="244"/>
      <c r="M20" s="243"/>
      <c r="N20" s="243"/>
      <c r="O20" s="243"/>
      <c r="P20" s="70">
        <f t="shared" si="3"/>
        <v>1697</v>
      </c>
      <c r="Q20" s="243">
        <v>1697</v>
      </c>
      <c r="R20" s="243">
        <v>0</v>
      </c>
      <c r="S20" s="99"/>
      <c r="W20" s="75"/>
    </row>
    <row r="21" spans="1:23" s="40" customFormat="1" ht="33" customHeight="1">
      <c r="A21" s="48" t="s">
        <v>5</v>
      </c>
      <c r="B21" s="49" t="s">
        <v>53</v>
      </c>
      <c r="C21" s="48"/>
      <c r="D21" s="48"/>
      <c r="E21" s="48"/>
      <c r="F21" s="81"/>
      <c r="G21" s="243"/>
      <c r="H21" s="243"/>
      <c r="I21" s="243"/>
      <c r="J21" s="244"/>
      <c r="K21" s="244"/>
      <c r="L21" s="244"/>
      <c r="M21" s="243"/>
      <c r="N21" s="243"/>
      <c r="O21" s="243"/>
      <c r="P21" s="70">
        <f t="shared" si="3"/>
        <v>1697</v>
      </c>
      <c r="Q21" s="243">
        <v>1697</v>
      </c>
      <c r="R21" s="243">
        <v>0</v>
      </c>
      <c r="S21" s="99"/>
      <c r="W21" s="75"/>
    </row>
    <row r="22" spans="1:23" s="40" customFormat="1" ht="33" customHeight="1">
      <c r="A22" s="48" t="s">
        <v>5</v>
      </c>
      <c r="B22" s="49" t="s">
        <v>51</v>
      </c>
      <c r="C22" s="48"/>
      <c r="D22" s="48"/>
      <c r="E22" s="48"/>
      <c r="F22" s="81"/>
      <c r="G22" s="243"/>
      <c r="H22" s="243"/>
      <c r="I22" s="243"/>
      <c r="J22" s="244"/>
      <c r="K22" s="244"/>
      <c r="L22" s="244"/>
      <c r="M22" s="243"/>
      <c r="N22" s="243"/>
      <c r="O22" s="243"/>
      <c r="P22" s="70">
        <f t="shared" si="3"/>
        <v>1697</v>
      </c>
      <c r="Q22" s="243">
        <v>1697</v>
      </c>
      <c r="R22" s="243">
        <v>0</v>
      </c>
      <c r="S22" s="99"/>
      <c r="W22" s="75"/>
    </row>
    <row r="23" spans="1:23" s="57" customFormat="1" ht="33" customHeight="1">
      <c r="A23" s="158" t="s">
        <v>6</v>
      </c>
      <c r="B23" s="159" t="s">
        <v>141</v>
      </c>
      <c r="C23" s="158"/>
      <c r="D23" s="158"/>
      <c r="E23" s="158"/>
      <c r="F23" s="158"/>
      <c r="G23" s="120">
        <f aca="true" t="shared" si="4" ref="G23:P23">G24+G32</f>
        <v>80600</v>
      </c>
      <c r="H23" s="120">
        <f t="shared" si="4"/>
        <v>75091</v>
      </c>
      <c r="I23" s="120">
        <f t="shared" si="4"/>
        <v>5509</v>
      </c>
      <c r="J23" s="120">
        <f t="shared" si="4"/>
        <v>0</v>
      </c>
      <c r="K23" s="120">
        <f t="shared" si="4"/>
        <v>0</v>
      </c>
      <c r="L23" s="120">
        <f t="shared" si="4"/>
        <v>0</v>
      </c>
      <c r="M23" s="120">
        <f t="shared" si="4"/>
        <v>0</v>
      </c>
      <c r="N23" s="120">
        <f t="shared" si="4"/>
        <v>0</v>
      </c>
      <c r="O23" s="120">
        <f t="shared" si="4"/>
        <v>0</v>
      </c>
      <c r="P23" s="120">
        <f t="shared" si="4"/>
        <v>35039</v>
      </c>
      <c r="Q23" s="120">
        <f>Q24+Q32</f>
        <v>32049</v>
      </c>
      <c r="R23" s="120">
        <f>R24+R32</f>
        <v>2990</v>
      </c>
      <c r="S23" s="154"/>
      <c r="W23" s="152"/>
    </row>
    <row r="24" spans="1:23" s="57" customFormat="1" ht="21.75" customHeight="1">
      <c r="A24" s="158">
        <v>1</v>
      </c>
      <c r="B24" s="159" t="s">
        <v>40</v>
      </c>
      <c r="C24" s="158"/>
      <c r="D24" s="158"/>
      <c r="E24" s="158"/>
      <c r="F24" s="158"/>
      <c r="G24" s="120">
        <f>SUM(G25:G30)</f>
        <v>80600</v>
      </c>
      <c r="H24" s="120">
        <f aca="true" t="shared" si="5" ref="H24:R24">SUM(H25:H30)</f>
        <v>75091</v>
      </c>
      <c r="I24" s="120">
        <f t="shared" si="5"/>
        <v>5509</v>
      </c>
      <c r="J24" s="120">
        <f t="shared" si="5"/>
        <v>0</v>
      </c>
      <c r="K24" s="120">
        <f t="shared" si="5"/>
        <v>0</v>
      </c>
      <c r="L24" s="120">
        <f t="shared" si="5"/>
        <v>0</v>
      </c>
      <c r="M24" s="120">
        <f t="shared" si="5"/>
        <v>0</v>
      </c>
      <c r="N24" s="120">
        <f t="shared" si="5"/>
        <v>0</v>
      </c>
      <c r="O24" s="120">
        <f t="shared" si="5"/>
        <v>0</v>
      </c>
      <c r="P24" s="120">
        <f t="shared" si="5"/>
        <v>700</v>
      </c>
      <c r="Q24" s="120">
        <f t="shared" si="5"/>
        <v>700</v>
      </c>
      <c r="R24" s="120">
        <f t="shared" si="5"/>
        <v>0</v>
      </c>
      <c r="S24" s="181"/>
      <c r="W24" s="179"/>
    </row>
    <row r="25" spans="1:23" s="65" customFormat="1" ht="53.25" customHeight="1">
      <c r="A25" s="163" t="s">
        <v>5</v>
      </c>
      <c r="B25" s="164" t="s">
        <v>171</v>
      </c>
      <c r="C25" s="165" t="s">
        <v>62</v>
      </c>
      <c r="D25" s="166" t="s">
        <v>53</v>
      </c>
      <c r="E25" s="167" t="s">
        <v>177</v>
      </c>
      <c r="F25" s="160"/>
      <c r="G25" s="70">
        <f aca="true" t="shared" si="6" ref="G25:G30">H25+I25</f>
        <v>14975</v>
      </c>
      <c r="H25" s="245">
        <v>14250</v>
      </c>
      <c r="I25" s="245">
        <f>350+375</f>
        <v>725</v>
      </c>
      <c r="J25" s="113"/>
      <c r="K25" s="113"/>
      <c r="L25" s="113"/>
      <c r="M25" s="70">
        <v>0</v>
      </c>
      <c r="N25" s="70"/>
      <c r="O25" s="70"/>
      <c r="P25" s="70">
        <v>120</v>
      </c>
      <c r="Q25" s="70">
        <v>120</v>
      </c>
      <c r="R25" s="70">
        <v>0</v>
      </c>
      <c r="S25" s="181"/>
      <c r="W25" s="180"/>
    </row>
    <row r="26" spans="1:23" s="65" customFormat="1" ht="60.75" customHeight="1">
      <c r="A26" s="163" t="s">
        <v>5</v>
      </c>
      <c r="B26" s="164" t="s">
        <v>172</v>
      </c>
      <c r="C26" s="165" t="s">
        <v>62</v>
      </c>
      <c r="D26" s="166" t="s">
        <v>51</v>
      </c>
      <c r="E26" s="167" t="s">
        <v>118</v>
      </c>
      <c r="F26" s="160"/>
      <c r="G26" s="70">
        <f t="shared" si="6"/>
        <v>14975</v>
      </c>
      <c r="H26" s="245">
        <v>14250</v>
      </c>
      <c r="I26" s="245">
        <f>350+375</f>
        <v>725</v>
      </c>
      <c r="J26" s="113"/>
      <c r="K26" s="113"/>
      <c r="L26" s="113"/>
      <c r="M26" s="70"/>
      <c r="N26" s="70"/>
      <c r="O26" s="70"/>
      <c r="P26" s="70">
        <v>120</v>
      </c>
      <c r="Q26" s="70">
        <v>120</v>
      </c>
      <c r="R26" s="70">
        <v>0</v>
      </c>
      <c r="S26" s="181"/>
      <c r="W26" s="180"/>
    </row>
    <row r="27" spans="1:23" s="65" customFormat="1" ht="60" customHeight="1">
      <c r="A27" s="163" t="s">
        <v>5</v>
      </c>
      <c r="B27" s="164" t="s">
        <v>173</v>
      </c>
      <c r="C27" s="165" t="s">
        <v>62</v>
      </c>
      <c r="D27" s="166" t="s">
        <v>53</v>
      </c>
      <c r="E27" s="167" t="s">
        <v>177</v>
      </c>
      <c r="F27" s="160"/>
      <c r="G27" s="70">
        <f t="shared" si="6"/>
        <v>14950</v>
      </c>
      <c r="H27" s="245">
        <v>13591</v>
      </c>
      <c r="I27" s="245">
        <f>951+408</f>
        <v>1359</v>
      </c>
      <c r="J27" s="113"/>
      <c r="K27" s="113"/>
      <c r="L27" s="113"/>
      <c r="M27" s="70"/>
      <c r="N27" s="70"/>
      <c r="O27" s="70"/>
      <c r="P27" s="70">
        <v>120</v>
      </c>
      <c r="Q27" s="70">
        <v>120</v>
      </c>
      <c r="R27" s="70">
        <v>0</v>
      </c>
      <c r="S27" s="181"/>
      <c r="W27" s="180"/>
    </row>
    <row r="28" spans="1:23" s="65" customFormat="1" ht="46.5" customHeight="1">
      <c r="A28" s="163" t="s">
        <v>5</v>
      </c>
      <c r="B28" s="164" t="s">
        <v>174</v>
      </c>
      <c r="C28" s="165" t="s">
        <v>62</v>
      </c>
      <c r="D28" s="166" t="s">
        <v>53</v>
      </c>
      <c r="E28" s="168">
        <v>2019</v>
      </c>
      <c r="F28" s="160"/>
      <c r="G28" s="70">
        <f t="shared" si="6"/>
        <v>6600</v>
      </c>
      <c r="H28" s="70">
        <v>6000</v>
      </c>
      <c r="I28" s="70">
        <f>420+180</f>
        <v>600</v>
      </c>
      <c r="J28" s="113"/>
      <c r="K28" s="113"/>
      <c r="L28" s="113"/>
      <c r="M28" s="70"/>
      <c r="N28" s="70"/>
      <c r="O28" s="70"/>
      <c r="P28" s="70">
        <v>100</v>
      </c>
      <c r="Q28" s="70">
        <v>100</v>
      </c>
      <c r="R28" s="70">
        <v>0</v>
      </c>
      <c r="S28" s="181"/>
      <c r="W28" s="180"/>
    </row>
    <row r="29" spans="1:23" s="65" customFormat="1" ht="40.5" customHeight="1">
      <c r="A29" s="163" t="s">
        <v>5</v>
      </c>
      <c r="B29" s="164" t="s">
        <v>175</v>
      </c>
      <c r="C29" s="165" t="s">
        <v>62</v>
      </c>
      <c r="D29" s="166" t="s">
        <v>51</v>
      </c>
      <c r="E29" s="167" t="s">
        <v>177</v>
      </c>
      <c r="F29" s="160"/>
      <c r="G29" s="70">
        <f t="shared" si="6"/>
        <v>14750</v>
      </c>
      <c r="H29" s="70">
        <v>14000</v>
      </c>
      <c r="I29" s="70">
        <f>375+375</f>
        <v>750</v>
      </c>
      <c r="J29" s="113"/>
      <c r="K29" s="113"/>
      <c r="L29" s="113"/>
      <c r="M29" s="70"/>
      <c r="N29" s="70"/>
      <c r="O29" s="70"/>
      <c r="P29" s="70">
        <v>120</v>
      </c>
      <c r="Q29" s="70">
        <v>120</v>
      </c>
      <c r="R29" s="70">
        <v>0</v>
      </c>
      <c r="S29" s="181"/>
      <c r="W29" s="180"/>
    </row>
    <row r="30" spans="1:23" s="65" customFormat="1" ht="50.25" customHeight="1">
      <c r="A30" s="163" t="s">
        <v>5</v>
      </c>
      <c r="B30" s="164" t="s">
        <v>176</v>
      </c>
      <c r="C30" s="165" t="s">
        <v>62</v>
      </c>
      <c r="D30" s="166" t="s">
        <v>53</v>
      </c>
      <c r="E30" s="167" t="s">
        <v>177</v>
      </c>
      <c r="F30" s="160"/>
      <c r="G30" s="70">
        <f t="shared" si="6"/>
        <v>14350</v>
      </c>
      <c r="H30" s="70">
        <v>13000</v>
      </c>
      <c r="I30" s="70">
        <f>945+405</f>
        <v>1350</v>
      </c>
      <c r="J30" s="113"/>
      <c r="K30" s="113"/>
      <c r="L30" s="113"/>
      <c r="M30" s="70"/>
      <c r="N30" s="70"/>
      <c r="O30" s="70"/>
      <c r="P30" s="70">
        <v>120</v>
      </c>
      <c r="Q30" s="70">
        <v>120</v>
      </c>
      <c r="R30" s="70">
        <v>0</v>
      </c>
      <c r="S30" s="181"/>
      <c r="W30" s="180"/>
    </row>
    <row r="31" spans="1:23" s="198" customFormat="1" ht="21.75" customHeight="1">
      <c r="A31" s="163">
        <v>2</v>
      </c>
      <c r="B31" s="194" t="s">
        <v>192</v>
      </c>
      <c r="C31" s="160"/>
      <c r="D31" s="195"/>
      <c r="E31" s="196"/>
      <c r="F31" s="160"/>
      <c r="G31" s="242">
        <f>G32</f>
        <v>0</v>
      </c>
      <c r="H31" s="242">
        <f aca="true" t="shared" si="7" ref="H31:R31">H32</f>
        <v>0</v>
      </c>
      <c r="I31" s="242">
        <f t="shared" si="7"/>
        <v>0</v>
      </c>
      <c r="J31" s="242">
        <f t="shared" si="7"/>
        <v>0</v>
      </c>
      <c r="K31" s="242">
        <f t="shared" si="7"/>
        <v>0</v>
      </c>
      <c r="L31" s="242">
        <f t="shared" si="7"/>
        <v>0</v>
      </c>
      <c r="M31" s="242">
        <f t="shared" si="7"/>
        <v>0</v>
      </c>
      <c r="N31" s="242">
        <f t="shared" si="7"/>
        <v>0</v>
      </c>
      <c r="O31" s="242">
        <f t="shared" si="7"/>
        <v>0</v>
      </c>
      <c r="P31" s="242">
        <f t="shared" si="7"/>
        <v>34339</v>
      </c>
      <c r="Q31" s="242">
        <f t="shared" si="7"/>
        <v>31349</v>
      </c>
      <c r="R31" s="242">
        <f t="shared" si="7"/>
        <v>2990</v>
      </c>
      <c r="S31" s="197"/>
      <c r="W31" s="160"/>
    </row>
    <row r="32" spans="1:23" s="65" customFormat="1" ht="39" customHeight="1">
      <c r="A32" s="160" t="s">
        <v>18</v>
      </c>
      <c r="B32" s="161" t="s">
        <v>206</v>
      </c>
      <c r="C32" s="160"/>
      <c r="D32" s="160"/>
      <c r="E32" s="160"/>
      <c r="F32" s="160"/>
      <c r="G32" s="242">
        <v>0</v>
      </c>
      <c r="H32" s="242">
        <v>0</v>
      </c>
      <c r="I32" s="242">
        <v>0</v>
      </c>
      <c r="J32" s="242">
        <f aca="true" t="shared" si="8" ref="J32:O32">SUM(J33:J38)</f>
        <v>0</v>
      </c>
      <c r="K32" s="242">
        <f t="shared" si="8"/>
        <v>0</v>
      </c>
      <c r="L32" s="242">
        <f t="shared" si="8"/>
        <v>0</v>
      </c>
      <c r="M32" s="242">
        <f t="shared" si="8"/>
        <v>0</v>
      </c>
      <c r="N32" s="242">
        <f t="shared" si="8"/>
        <v>0</v>
      </c>
      <c r="O32" s="242">
        <f t="shared" si="8"/>
        <v>0</v>
      </c>
      <c r="P32" s="242">
        <f aca="true" t="shared" si="9" ref="P32:P38">Q32+R32</f>
        <v>34339</v>
      </c>
      <c r="Q32" s="242">
        <f>SUM(Q33:Q38)</f>
        <v>31349</v>
      </c>
      <c r="R32" s="242">
        <f aca="true" t="shared" si="10" ref="R32:W32">SUM(R33:R38)</f>
        <v>2990</v>
      </c>
      <c r="S32" s="162">
        <f t="shared" si="10"/>
        <v>0</v>
      </c>
      <c r="T32" s="162">
        <f t="shared" si="10"/>
        <v>0</v>
      </c>
      <c r="U32" s="162">
        <f t="shared" si="10"/>
        <v>0</v>
      </c>
      <c r="V32" s="162">
        <f t="shared" si="10"/>
        <v>0</v>
      </c>
      <c r="W32" s="162">
        <f t="shared" si="10"/>
        <v>0</v>
      </c>
    </row>
    <row r="33" spans="1:23" s="65" customFormat="1" ht="33" hidden="1">
      <c r="A33" s="163" t="s">
        <v>5</v>
      </c>
      <c r="B33" s="164" t="s">
        <v>171</v>
      </c>
      <c r="C33" s="165" t="s">
        <v>62</v>
      </c>
      <c r="D33" s="166" t="s">
        <v>53</v>
      </c>
      <c r="E33" s="167" t="s">
        <v>177</v>
      </c>
      <c r="F33" s="160"/>
      <c r="G33" s="70">
        <f aca="true" t="shared" si="11" ref="G33:G38">H33+I33</f>
        <v>14975</v>
      </c>
      <c r="H33" s="245">
        <v>14250</v>
      </c>
      <c r="I33" s="245">
        <f>350+375</f>
        <v>725</v>
      </c>
      <c r="J33" s="113"/>
      <c r="K33" s="113"/>
      <c r="L33" s="113"/>
      <c r="M33" s="70">
        <v>0</v>
      </c>
      <c r="N33" s="70"/>
      <c r="O33" s="70"/>
      <c r="P33" s="70">
        <f t="shared" si="9"/>
        <v>5730</v>
      </c>
      <c r="Q33" s="70">
        <f>5500-Q25</f>
        <v>5380</v>
      </c>
      <c r="R33" s="70">
        <v>350</v>
      </c>
      <c r="S33" s="154"/>
      <c r="W33" s="153"/>
    </row>
    <row r="34" spans="1:23" s="65" customFormat="1" ht="33" hidden="1">
      <c r="A34" s="163" t="s">
        <v>5</v>
      </c>
      <c r="B34" s="164" t="s">
        <v>172</v>
      </c>
      <c r="C34" s="165" t="s">
        <v>62</v>
      </c>
      <c r="D34" s="166" t="s">
        <v>51</v>
      </c>
      <c r="E34" s="167" t="s">
        <v>118</v>
      </c>
      <c r="F34" s="160"/>
      <c r="G34" s="70">
        <f t="shared" si="11"/>
        <v>14975</v>
      </c>
      <c r="H34" s="245">
        <v>14250</v>
      </c>
      <c r="I34" s="245">
        <f>350+375</f>
        <v>725</v>
      </c>
      <c r="J34" s="113"/>
      <c r="K34" s="113"/>
      <c r="L34" s="113"/>
      <c r="M34" s="70"/>
      <c r="N34" s="70"/>
      <c r="O34" s="70"/>
      <c r="P34" s="70">
        <f t="shared" si="9"/>
        <v>5730</v>
      </c>
      <c r="Q34" s="70">
        <f>5500-120</f>
        <v>5380</v>
      </c>
      <c r="R34" s="70">
        <v>350</v>
      </c>
      <c r="S34" s="154"/>
      <c r="W34" s="153"/>
    </row>
    <row r="35" spans="1:23" s="65" customFormat="1" ht="49.5" hidden="1">
      <c r="A35" s="163" t="s">
        <v>5</v>
      </c>
      <c r="B35" s="164" t="s">
        <v>173</v>
      </c>
      <c r="C35" s="165" t="s">
        <v>62</v>
      </c>
      <c r="D35" s="166" t="s">
        <v>53</v>
      </c>
      <c r="E35" s="167" t="s">
        <v>177</v>
      </c>
      <c r="F35" s="160"/>
      <c r="G35" s="70">
        <f t="shared" si="11"/>
        <v>14950</v>
      </c>
      <c r="H35" s="245">
        <v>13591</v>
      </c>
      <c r="I35" s="245">
        <f>951+408</f>
        <v>1359</v>
      </c>
      <c r="J35" s="113"/>
      <c r="K35" s="113"/>
      <c r="L35" s="113"/>
      <c r="M35" s="70"/>
      <c r="N35" s="70"/>
      <c r="O35" s="70"/>
      <c r="P35" s="70">
        <f t="shared" si="9"/>
        <v>7030</v>
      </c>
      <c r="Q35" s="70">
        <f>6500-120</f>
        <v>6380</v>
      </c>
      <c r="R35" s="70">
        <v>650</v>
      </c>
      <c r="S35" s="154"/>
      <c r="W35" s="153"/>
    </row>
    <row r="36" spans="1:23" s="65" customFormat="1" ht="40.5" customHeight="1" hidden="1">
      <c r="A36" s="163" t="s">
        <v>5</v>
      </c>
      <c r="B36" s="164" t="s">
        <v>174</v>
      </c>
      <c r="C36" s="165" t="s">
        <v>62</v>
      </c>
      <c r="D36" s="166" t="s">
        <v>53</v>
      </c>
      <c r="E36" s="168">
        <v>2019</v>
      </c>
      <c r="F36" s="160"/>
      <c r="G36" s="70">
        <f t="shared" si="11"/>
        <v>6600</v>
      </c>
      <c r="H36" s="70">
        <v>6000</v>
      </c>
      <c r="I36" s="70">
        <f>420+180</f>
        <v>600</v>
      </c>
      <c r="J36" s="113"/>
      <c r="K36" s="113"/>
      <c r="L36" s="113"/>
      <c r="M36" s="70"/>
      <c r="N36" s="70"/>
      <c r="O36" s="70"/>
      <c r="P36" s="70">
        <f t="shared" si="9"/>
        <v>6500</v>
      </c>
      <c r="Q36" s="70">
        <f>6000-100</f>
        <v>5900</v>
      </c>
      <c r="R36" s="70">
        <v>600</v>
      </c>
      <c r="S36" s="154"/>
      <c r="W36" s="153"/>
    </row>
    <row r="37" spans="1:23" s="65" customFormat="1" ht="33" customHeight="1" hidden="1">
      <c r="A37" s="163" t="s">
        <v>5</v>
      </c>
      <c r="B37" s="164" t="s">
        <v>175</v>
      </c>
      <c r="C37" s="165" t="s">
        <v>62</v>
      </c>
      <c r="D37" s="166" t="s">
        <v>51</v>
      </c>
      <c r="E37" s="167" t="s">
        <v>177</v>
      </c>
      <c r="F37" s="160"/>
      <c r="G37" s="70">
        <f t="shared" si="11"/>
        <v>14750</v>
      </c>
      <c r="H37" s="70">
        <v>14000</v>
      </c>
      <c r="I37" s="70">
        <f>375+375</f>
        <v>750</v>
      </c>
      <c r="J37" s="113"/>
      <c r="K37" s="113"/>
      <c r="L37" s="113"/>
      <c r="M37" s="70"/>
      <c r="N37" s="70"/>
      <c r="O37" s="70"/>
      <c r="P37" s="70">
        <f t="shared" si="9"/>
        <v>4740</v>
      </c>
      <c r="Q37" s="70">
        <f>4500-120</f>
        <v>4380</v>
      </c>
      <c r="R37" s="70">
        <v>360</v>
      </c>
      <c r="S37" s="154"/>
      <c r="W37" s="153"/>
    </row>
    <row r="38" spans="1:23" s="65" customFormat="1" ht="33" customHeight="1" hidden="1">
      <c r="A38" s="163" t="s">
        <v>5</v>
      </c>
      <c r="B38" s="164" t="s">
        <v>176</v>
      </c>
      <c r="C38" s="165" t="s">
        <v>62</v>
      </c>
      <c r="D38" s="166" t="s">
        <v>53</v>
      </c>
      <c r="E38" s="167" t="s">
        <v>177</v>
      </c>
      <c r="F38" s="160"/>
      <c r="G38" s="70">
        <f t="shared" si="11"/>
        <v>14350</v>
      </c>
      <c r="H38" s="70">
        <v>13000</v>
      </c>
      <c r="I38" s="70">
        <f>945+405</f>
        <v>1350</v>
      </c>
      <c r="J38" s="113"/>
      <c r="K38" s="113"/>
      <c r="L38" s="113"/>
      <c r="M38" s="70"/>
      <c r="N38" s="70"/>
      <c r="O38" s="70"/>
      <c r="P38" s="70">
        <f t="shared" si="9"/>
        <v>4609</v>
      </c>
      <c r="Q38" s="70">
        <f>4049-120</f>
        <v>3929</v>
      </c>
      <c r="R38" s="70">
        <v>680</v>
      </c>
      <c r="S38" s="154"/>
      <c r="W38" s="153"/>
    </row>
    <row r="39" spans="1:23" s="57" customFormat="1" ht="33" customHeight="1">
      <c r="A39" s="121" t="s">
        <v>167</v>
      </c>
      <c r="B39" s="121" t="s">
        <v>168</v>
      </c>
      <c r="C39" s="121"/>
      <c r="D39" s="121"/>
      <c r="E39" s="121"/>
      <c r="F39" s="121"/>
      <c r="G39" s="122">
        <f aca="true" t="shared" si="12" ref="G39:R39">G40+G61</f>
        <v>6443.200000000001</v>
      </c>
      <c r="H39" s="122">
        <f t="shared" si="12"/>
        <v>5869</v>
      </c>
      <c r="I39" s="122">
        <f t="shared" si="12"/>
        <v>574.2</v>
      </c>
      <c r="J39" s="122">
        <f t="shared" si="12"/>
        <v>6443.200000000001</v>
      </c>
      <c r="K39" s="122">
        <f t="shared" si="12"/>
        <v>5869</v>
      </c>
      <c r="L39" s="122">
        <f t="shared" si="12"/>
        <v>574.2</v>
      </c>
      <c r="M39" s="122">
        <f t="shared" si="12"/>
        <v>1165</v>
      </c>
      <c r="N39" s="122">
        <f t="shared" si="12"/>
        <v>1165</v>
      </c>
      <c r="O39" s="122">
        <f t="shared" si="12"/>
        <v>0</v>
      </c>
      <c r="P39" s="122">
        <f t="shared" si="12"/>
        <v>5030</v>
      </c>
      <c r="Q39" s="122">
        <f t="shared" si="12"/>
        <v>4621</v>
      </c>
      <c r="R39" s="122">
        <f t="shared" si="12"/>
        <v>409</v>
      </c>
      <c r="S39" s="87"/>
      <c r="V39" s="31"/>
      <c r="W39" s="74"/>
    </row>
    <row r="40" spans="1:23" s="12" customFormat="1" ht="33" customHeight="1">
      <c r="A40" s="24" t="s">
        <v>4</v>
      </c>
      <c r="B40" s="119" t="s">
        <v>166</v>
      </c>
      <c r="C40" s="24"/>
      <c r="D40" s="24"/>
      <c r="E40" s="24"/>
      <c r="F40" s="24"/>
      <c r="G40" s="120">
        <f aca="true" t="shared" si="13" ref="G40:R40">G41+G45+G49+G55+G56</f>
        <v>0</v>
      </c>
      <c r="H40" s="120">
        <f t="shared" si="13"/>
        <v>0</v>
      </c>
      <c r="I40" s="120">
        <f t="shared" si="13"/>
        <v>0</v>
      </c>
      <c r="J40" s="120">
        <f t="shared" si="13"/>
        <v>0</v>
      </c>
      <c r="K40" s="120">
        <f t="shared" si="13"/>
        <v>0</v>
      </c>
      <c r="L40" s="120">
        <f t="shared" si="13"/>
        <v>0</v>
      </c>
      <c r="M40" s="120">
        <f t="shared" si="13"/>
        <v>0</v>
      </c>
      <c r="N40" s="120">
        <f t="shared" si="13"/>
        <v>0</v>
      </c>
      <c r="O40" s="120">
        <f t="shared" si="13"/>
        <v>0</v>
      </c>
      <c r="P40" s="120">
        <f t="shared" si="13"/>
        <v>1571</v>
      </c>
      <c r="Q40" s="120">
        <f t="shared" si="13"/>
        <v>1571</v>
      </c>
      <c r="R40" s="120">
        <f t="shared" si="13"/>
        <v>0</v>
      </c>
      <c r="S40" s="87"/>
      <c r="V40" s="31" t="e">
        <f>Q12+#REF!</f>
        <v>#REF!</v>
      </c>
      <c r="W40" s="74"/>
    </row>
    <row r="41" spans="1:23" s="12" customFormat="1" ht="33" customHeight="1">
      <c r="A41" s="52">
        <v>1</v>
      </c>
      <c r="B41" s="53" t="s">
        <v>220</v>
      </c>
      <c r="C41" s="106"/>
      <c r="D41" s="93"/>
      <c r="E41" s="106"/>
      <c r="F41" s="52"/>
      <c r="G41" s="242"/>
      <c r="H41" s="242"/>
      <c r="I41" s="242"/>
      <c r="J41" s="113"/>
      <c r="K41" s="113"/>
      <c r="L41" s="113"/>
      <c r="M41" s="242"/>
      <c r="N41" s="242"/>
      <c r="O41" s="242"/>
      <c r="P41" s="242">
        <f aca="true" t="shared" si="14" ref="P41:P55">SUM(Q41:R41)</f>
        <v>222</v>
      </c>
      <c r="Q41" s="242">
        <f>SUM(Q42:Q44)</f>
        <v>222</v>
      </c>
      <c r="R41" s="242">
        <v>0</v>
      </c>
      <c r="S41" s="87"/>
      <c r="V41" s="31" t="e">
        <f>Q61+#REF!</f>
        <v>#REF!</v>
      </c>
      <c r="W41" s="74"/>
    </row>
    <row r="42" spans="1:23" ht="33" customHeight="1">
      <c r="A42" s="44" t="s">
        <v>5</v>
      </c>
      <c r="B42" s="55" t="s">
        <v>52</v>
      </c>
      <c r="C42" s="44"/>
      <c r="D42" s="44"/>
      <c r="E42" s="44"/>
      <c r="F42" s="80"/>
      <c r="G42" s="70"/>
      <c r="H42" s="70"/>
      <c r="I42" s="70"/>
      <c r="J42" s="114"/>
      <c r="K42" s="114"/>
      <c r="L42" s="114"/>
      <c r="M42" s="70"/>
      <c r="N42" s="70"/>
      <c r="O42" s="70"/>
      <c r="P42" s="70">
        <f t="shared" si="14"/>
        <v>75</v>
      </c>
      <c r="Q42" s="70">
        <v>75</v>
      </c>
      <c r="R42" s="70">
        <v>0</v>
      </c>
      <c r="S42" s="95"/>
      <c r="V42" s="42" t="e">
        <f>Q40+#REF!</f>
        <v>#REF!</v>
      </c>
      <c r="W42" s="71"/>
    </row>
    <row r="43" spans="1:23" s="40" customFormat="1" ht="33" customHeight="1">
      <c r="A43" s="48" t="s">
        <v>5</v>
      </c>
      <c r="B43" s="49" t="s">
        <v>53</v>
      </c>
      <c r="C43" s="48"/>
      <c r="D43" s="48"/>
      <c r="E43" s="48"/>
      <c r="F43" s="81"/>
      <c r="G43" s="243"/>
      <c r="H43" s="243"/>
      <c r="I43" s="243"/>
      <c r="J43" s="244"/>
      <c r="K43" s="244"/>
      <c r="L43" s="244"/>
      <c r="M43" s="243"/>
      <c r="N43" s="243"/>
      <c r="O43" s="243"/>
      <c r="P43" s="70">
        <f t="shared" si="14"/>
        <v>75</v>
      </c>
      <c r="Q43" s="243">
        <v>75</v>
      </c>
      <c r="R43" s="243">
        <v>0</v>
      </c>
      <c r="S43" s="99"/>
      <c r="V43" s="43" t="e">
        <f>V41+V42</f>
        <v>#REF!</v>
      </c>
      <c r="W43" s="75"/>
    </row>
    <row r="44" spans="1:23" s="40" customFormat="1" ht="33" customHeight="1">
      <c r="A44" s="48" t="s">
        <v>5</v>
      </c>
      <c r="B44" s="49" t="s">
        <v>51</v>
      </c>
      <c r="C44" s="48"/>
      <c r="D44" s="48"/>
      <c r="E44" s="48"/>
      <c r="F44" s="81"/>
      <c r="G44" s="243"/>
      <c r="H44" s="243"/>
      <c r="I44" s="243"/>
      <c r="J44" s="244"/>
      <c r="K44" s="244"/>
      <c r="L44" s="244"/>
      <c r="M44" s="243"/>
      <c r="N44" s="243"/>
      <c r="O44" s="243"/>
      <c r="P44" s="70">
        <f t="shared" si="14"/>
        <v>72</v>
      </c>
      <c r="Q44" s="243">
        <v>72</v>
      </c>
      <c r="R44" s="243">
        <v>0</v>
      </c>
      <c r="S44" s="99"/>
      <c r="V44" s="43" t="e">
        <f>R12+#REF!</f>
        <v>#REF!</v>
      </c>
      <c r="W44" s="75"/>
    </row>
    <row r="45" spans="1:23" s="12" customFormat="1" ht="57" customHeight="1">
      <c r="A45" s="52">
        <v>2</v>
      </c>
      <c r="B45" s="53" t="s">
        <v>221</v>
      </c>
      <c r="C45" s="106"/>
      <c r="D45" s="93"/>
      <c r="E45" s="106"/>
      <c r="F45" s="52"/>
      <c r="G45" s="242"/>
      <c r="H45" s="242"/>
      <c r="I45" s="242"/>
      <c r="J45" s="113"/>
      <c r="K45" s="113"/>
      <c r="L45" s="113"/>
      <c r="M45" s="242"/>
      <c r="N45" s="242"/>
      <c r="O45" s="242"/>
      <c r="P45" s="242">
        <f t="shared" si="14"/>
        <v>789</v>
      </c>
      <c r="Q45" s="242">
        <f>SUM(Q46:Q48)</f>
        <v>789</v>
      </c>
      <c r="R45" s="242">
        <v>0</v>
      </c>
      <c r="S45" s="87"/>
      <c r="W45" s="74"/>
    </row>
    <row r="46" spans="1:23" s="40" customFormat="1" ht="33" customHeight="1">
      <c r="A46" s="48" t="s">
        <v>5</v>
      </c>
      <c r="B46" s="49" t="s">
        <v>52</v>
      </c>
      <c r="C46" s="48"/>
      <c r="D46" s="48"/>
      <c r="E46" s="48"/>
      <c r="F46" s="81"/>
      <c r="G46" s="243"/>
      <c r="H46" s="243"/>
      <c r="I46" s="243"/>
      <c r="J46" s="244"/>
      <c r="K46" s="244"/>
      <c r="L46" s="244"/>
      <c r="M46" s="243"/>
      <c r="N46" s="243"/>
      <c r="O46" s="243"/>
      <c r="P46" s="70">
        <f t="shared" si="14"/>
        <v>267</v>
      </c>
      <c r="Q46" s="243">
        <v>267</v>
      </c>
      <c r="R46" s="243">
        <v>0</v>
      </c>
      <c r="S46" s="99"/>
      <c r="W46" s="75"/>
    </row>
    <row r="47" spans="1:23" s="40" customFormat="1" ht="33" customHeight="1">
      <c r="A47" s="48" t="s">
        <v>5</v>
      </c>
      <c r="B47" s="49" t="s">
        <v>53</v>
      </c>
      <c r="C47" s="48"/>
      <c r="D47" s="48"/>
      <c r="E47" s="48"/>
      <c r="F47" s="81"/>
      <c r="G47" s="243"/>
      <c r="H47" s="243"/>
      <c r="I47" s="243"/>
      <c r="J47" s="244"/>
      <c r="K47" s="244"/>
      <c r="L47" s="244"/>
      <c r="M47" s="243"/>
      <c r="N47" s="243"/>
      <c r="O47" s="243"/>
      <c r="P47" s="70">
        <f t="shared" si="14"/>
        <v>267</v>
      </c>
      <c r="Q47" s="243">
        <v>267</v>
      </c>
      <c r="R47" s="243">
        <v>0</v>
      </c>
      <c r="S47" s="99"/>
      <c r="W47" s="75"/>
    </row>
    <row r="48" spans="1:23" s="40" customFormat="1" ht="33" customHeight="1">
      <c r="A48" s="48" t="s">
        <v>5</v>
      </c>
      <c r="B48" s="49" t="s">
        <v>51</v>
      </c>
      <c r="C48" s="48"/>
      <c r="D48" s="48"/>
      <c r="E48" s="48"/>
      <c r="F48" s="81"/>
      <c r="G48" s="243"/>
      <c r="H48" s="243"/>
      <c r="I48" s="243"/>
      <c r="J48" s="244"/>
      <c r="K48" s="244"/>
      <c r="L48" s="244"/>
      <c r="M48" s="243"/>
      <c r="N48" s="243"/>
      <c r="O48" s="243"/>
      <c r="P48" s="70">
        <f t="shared" si="14"/>
        <v>255</v>
      </c>
      <c r="Q48" s="243">
        <v>255</v>
      </c>
      <c r="R48" s="243">
        <v>0</v>
      </c>
      <c r="S48" s="99"/>
      <c r="W48" s="75"/>
    </row>
    <row r="49" spans="1:23" s="17" customFormat="1" ht="33" customHeight="1">
      <c r="A49" s="82">
        <v>3</v>
      </c>
      <c r="B49" s="83" t="s">
        <v>76</v>
      </c>
      <c r="C49" s="82"/>
      <c r="D49" s="82"/>
      <c r="E49" s="82"/>
      <c r="F49" s="82"/>
      <c r="G49" s="246"/>
      <c r="H49" s="246"/>
      <c r="I49" s="246"/>
      <c r="J49" s="247"/>
      <c r="K49" s="247"/>
      <c r="L49" s="247"/>
      <c r="M49" s="246"/>
      <c r="N49" s="246"/>
      <c r="O49" s="246"/>
      <c r="P49" s="246">
        <f t="shared" si="14"/>
        <v>62</v>
      </c>
      <c r="Q49" s="246">
        <f>SUM(Q50:Q54)</f>
        <v>62</v>
      </c>
      <c r="R49" s="246">
        <v>0</v>
      </c>
      <c r="S49" s="100"/>
      <c r="W49" s="76"/>
    </row>
    <row r="50" spans="1:23" s="177" customFormat="1" ht="33" customHeight="1">
      <c r="A50" s="173" t="s">
        <v>5</v>
      </c>
      <c r="B50" s="174" t="s">
        <v>181</v>
      </c>
      <c r="C50" s="175"/>
      <c r="D50" s="175"/>
      <c r="E50" s="175"/>
      <c r="F50" s="175"/>
      <c r="G50" s="243"/>
      <c r="H50" s="243"/>
      <c r="I50" s="243"/>
      <c r="J50" s="244"/>
      <c r="K50" s="244"/>
      <c r="L50" s="244"/>
      <c r="M50" s="243"/>
      <c r="N50" s="243"/>
      <c r="O50" s="243"/>
      <c r="P50" s="243">
        <v>35</v>
      </c>
      <c r="Q50" s="243">
        <v>35</v>
      </c>
      <c r="R50" s="243"/>
      <c r="S50" s="176"/>
      <c r="W50" s="178"/>
    </row>
    <row r="51" spans="1:23" s="177" customFormat="1" ht="33" customHeight="1">
      <c r="A51" s="173" t="s">
        <v>5</v>
      </c>
      <c r="B51" s="174" t="s">
        <v>180</v>
      </c>
      <c r="C51" s="175"/>
      <c r="D51" s="175"/>
      <c r="E51" s="175"/>
      <c r="F51" s="175"/>
      <c r="G51" s="243"/>
      <c r="H51" s="243"/>
      <c r="I51" s="243"/>
      <c r="J51" s="244"/>
      <c r="K51" s="244"/>
      <c r="L51" s="244"/>
      <c r="M51" s="243"/>
      <c r="N51" s="243"/>
      <c r="O51" s="243"/>
      <c r="P51" s="243">
        <v>15</v>
      </c>
      <c r="Q51" s="243">
        <v>15</v>
      </c>
      <c r="R51" s="243"/>
      <c r="S51" s="176"/>
      <c r="W51" s="178"/>
    </row>
    <row r="52" spans="1:23" s="177" customFormat="1" ht="33" customHeight="1">
      <c r="A52" s="48" t="s">
        <v>5</v>
      </c>
      <c r="B52" s="49" t="s">
        <v>52</v>
      </c>
      <c r="C52" s="175"/>
      <c r="D52" s="175"/>
      <c r="E52" s="175"/>
      <c r="F52" s="175"/>
      <c r="G52" s="243"/>
      <c r="H52" s="243"/>
      <c r="I52" s="243"/>
      <c r="J52" s="244"/>
      <c r="K52" s="244"/>
      <c r="L52" s="244"/>
      <c r="M52" s="243"/>
      <c r="N52" s="243"/>
      <c r="O52" s="243"/>
      <c r="P52" s="243">
        <v>4</v>
      </c>
      <c r="Q52" s="243">
        <v>4</v>
      </c>
      <c r="R52" s="243"/>
      <c r="S52" s="176"/>
      <c r="W52" s="178"/>
    </row>
    <row r="53" spans="1:23" s="177" customFormat="1" ht="33" customHeight="1">
      <c r="A53" s="48" t="s">
        <v>5</v>
      </c>
      <c r="B53" s="49" t="s">
        <v>53</v>
      </c>
      <c r="C53" s="175"/>
      <c r="D53" s="175"/>
      <c r="E53" s="175"/>
      <c r="F53" s="175"/>
      <c r="G53" s="243"/>
      <c r="H53" s="243"/>
      <c r="I53" s="243"/>
      <c r="J53" s="244"/>
      <c r="K53" s="244"/>
      <c r="L53" s="244"/>
      <c r="M53" s="243"/>
      <c r="N53" s="243"/>
      <c r="O53" s="243"/>
      <c r="P53" s="243">
        <v>4</v>
      </c>
      <c r="Q53" s="243">
        <v>4</v>
      </c>
      <c r="R53" s="243"/>
      <c r="S53" s="176"/>
      <c r="W53" s="178"/>
    </row>
    <row r="54" spans="1:23" s="177" customFormat="1" ht="33" customHeight="1">
      <c r="A54" s="48" t="s">
        <v>5</v>
      </c>
      <c r="B54" s="49" t="s">
        <v>51</v>
      </c>
      <c r="C54" s="175"/>
      <c r="D54" s="175"/>
      <c r="E54" s="175"/>
      <c r="F54" s="175"/>
      <c r="G54" s="243"/>
      <c r="H54" s="243"/>
      <c r="I54" s="243"/>
      <c r="J54" s="244"/>
      <c r="K54" s="244"/>
      <c r="L54" s="244"/>
      <c r="M54" s="243"/>
      <c r="N54" s="243"/>
      <c r="O54" s="243"/>
      <c r="P54" s="243">
        <v>4</v>
      </c>
      <c r="Q54" s="243">
        <v>4</v>
      </c>
      <c r="R54" s="243"/>
      <c r="S54" s="176"/>
      <c r="W54" s="178"/>
    </row>
    <row r="55" spans="1:23" s="17" customFormat="1" ht="57" customHeight="1">
      <c r="A55" s="82">
        <v>4</v>
      </c>
      <c r="B55" s="83" t="s">
        <v>182</v>
      </c>
      <c r="C55" s="82"/>
      <c r="D55" s="82"/>
      <c r="E55" s="82"/>
      <c r="F55" s="82"/>
      <c r="G55" s="246"/>
      <c r="H55" s="246"/>
      <c r="I55" s="246"/>
      <c r="J55" s="247"/>
      <c r="K55" s="247"/>
      <c r="L55" s="247"/>
      <c r="M55" s="246"/>
      <c r="N55" s="246"/>
      <c r="O55" s="246"/>
      <c r="P55" s="246">
        <f t="shared" si="14"/>
        <v>441</v>
      </c>
      <c r="Q55" s="246">
        <v>441</v>
      </c>
      <c r="R55" s="246"/>
      <c r="S55" s="100"/>
      <c r="W55" s="76"/>
    </row>
    <row r="56" spans="1:23" s="17" customFormat="1" ht="47.25" customHeight="1">
      <c r="A56" s="82">
        <v>5</v>
      </c>
      <c r="B56" s="83" t="s">
        <v>77</v>
      </c>
      <c r="C56" s="82"/>
      <c r="D56" s="82"/>
      <c r="E56" s="82"/>
      <c r="F56" s="82"/>
      <c r="G56" s="246"/>
      <c r="H56" s="246"/>
      <c r="I56" s="246"/>
      <c r="J56" s="247"/>
      <c r="K56" s="247"/>
      <c r="L56" s="247"/>
      <c r="M56" s="246"/>
      <c r="N56" s="246"/>
      <c r="O56" s="246"/>
      <c r="P56" s="246">
        <f>Q56+R56</f>
        <v>57</v>
      </c>
      <c r="Q56" s="246">
        <f>SUM(Q57:Q60)</f>
        <v>57</v>
      </c>
      <c r="R56" s="246">
        <v>0</v>
      </c>
      <c r="S56" s="100"/>
      <c r="W56" s="76"/>
    </row>
    <row r="57" spans="1:23" s="177" customFormat="1" ht="33" customHeight="1">
      <c r="A57" s="173" t="s">
        <v>5</v>
      </c>
      <c r="B57" s="174" t="s">
        <v>181</v>
      </c>
      <c r="C57" s="175"/>
      <c r="D57" s="175"/>
      <c r="E57" s="175"/>
      <c r="F57" s="175"/>
      <c r="G57" s="243"/>
      <c r="H57" s="243"/>
      <c r="I57" s="243"/>
      <c r="J57" s="244"/>
      <c r="K57" s="244"/>
      <c r="L57" s="244"/>
      <c r="M57" s="243"/>
      <c r="N57" s="243"/>
      <c r="O57" s="243"/>
      <c r="P57" s="243">
        <v>42</v>
      </c>
      <c r="Q57" s="243">
        <v>42</v>
      </c>
      <c r="R57" s="243"/>
      <c r="S57" s="176"/>
      <c r="W57" s="178"/>
    </row>
    <row r="58" spans="1:23" s="177" customFormat="1" ht="33" customHeight="1">
      <c r="A58" s="48" t="s">
        <v>5</v>
      </c>
      <c r="B58" s="49" t="s">
        <v>52</v>
      </c>
      <c r="C58" s="175"/>
      <c r="D58" s="175"/>
      <c r="E58" s="175"/>
      <c r="F58" s="175"/>
      <c r="G58" s="243"/>
      <c r="H58" s="243"/>
      <c r="I58" s="243"/>
      <c r="J58" s="244"/>
      <c r="K58" s="244"/>
      <c r="L58" s="244"/>
      <c r="M58" s="243"/>
      <c r="N58" s="243"/>
      <c r="O58" s="243"/>
      <c r="P58" s="243">
        <v>5</v>
      </c>
      <c r="Q58" s="243">
        <v>5</v>
      </c>
      <c r="R58" s="243"/>
      <c r="S58" s="176"/>
      <c r="W58" s="178"/>
    </row>
    <row r="59" spans="1:23" s="177" customFormat="1" ht="33" customHeight="1">
      <c r="A59" s="48" t="s">
        <v>5</v>
      </c>
      <c r="B59" s="49" t="s">
        <v>53</v>
      </c>
      <c r="C59" s="175"/>
      <c r="D59" s="175"/>
      <c r="E59" s="175"/>
      <c r="F59" s="175"/>
      <c r="G59" s="243"/>
      <c r="H59" s="243"/>
      <c r="I59" s="243"/>
      <c r="J59" s="244"/>
      <c r="K59" s="244"/>
      <c r="L59" s="244"/>
      <c r="M59" s="243"/>
      <c r="N59" s="243"/>
      <c r="O59" s="243"/>
      <c r="P59" s="243">
        <v>5</v>
      </c>
      <c r="Q59" s="243">
        <v>5</v>
      </c>
      <c r="R59" s="243"/>
      <c r="S59" s="176"/>
      <c r="W59" s="178"/>
    </row>
    <row r="60" spans="1:23" s="177" customFormat="1" ht="33" customHeight="1">
      <c r="A60" s="48" t="s">
        <v>5</v>
      </c>
      <c r="B60" s="49" t="s">
        <v>51</v>
      </c>
      <c r="C60" s="175"/>
      <c r="D60" s="175"/>
      <c r="E60" s="175"/>
      <c r="F60" s="175"/>
      <c r="G60" s="243"/>
      <c r="H60" s="243"/>
      <c r="I60" s="243"/>
      <c r="J60" s="244"/>
      <c r="K60" s="244"/>
      <c r="L60" s="244"/>
      <c r="M60" s="243"/>
      <c r="N60" s="243"/>
      <c r="O60" s="243"/>
      <c r="P60" s="243">
        <v>5</v>
      </c>
      <c r="Q60" s="243">
        <v>5</v>
      </c>
      <c r="R60" s="243"/>
      <c r="S60" s="176"/>
      <c r="W60" s="178"/>
    </row>
    <row r="61" spans="1:23" s="57" customFormat="1" ht="33" customHeight="1">
      <c r="A61" s="24" t="s">
        <v>6</v>
      </c>
      <c r="B61" s="119" t="s">
        <v>141</v>
      </c>
      <c r="C61" s="24"/>
      <c r="D61" s="24"/>
      <c r="E61" s="24"/>
      <c r="F61" s="24"/>
      <c r="G61" s="120">
        <f>G62+G65</f>
        <v>6443.200000000001</v>
      </c>
      <c r="H61" s="120">
        <f aca="true" t="shared" si="15" ref="H61:R61">H62+H65</f>
        <v>5869</v>
      </c>
      <c r="I61" s="120">
        <f t="shared" si="15"/>
        <v>574.2</v>
      </c>
      <c r="J61" s="120">
        <f t="shared" si="15"/>
        <v>6443.200000000001</v>
      </c>
      <c r="K61" s="120">
        <f t="shared" si="15"/>
        <v>5869</v>
      </c>
      <c r="L61" s="120">
        <f t="shared" si="15"/>
        <v>574.2</v>
      </c>
      <c r="M61" s="120">
        <f t="shared" si="15"/>
        <v>1165</v>
      </c>
      <c r="N61" s="120">
        <f t="shared" si="15"/>
        <v>1165</v>
      </c>
      <c r="O61" s="120">
        <f t="shared" si="15"/>
        <v>0</v>
      </c>
      <c r="P61" s="120">
        <f t="shared" si="15"/>
        <v>3459</v>
      </c>
      <c r="Q61" s="120">
        <f t="shared" si="15"/>
        <v>3050</v>
      </c>
      <c r="R61" s="120">
        <f t="shared" si="15"/>
        <v>409</v>
      </c>
      <c r="S61" s="120" t="e">
        <f>#REF!+S66+S69</f>
        <v>#REF!</v>
      </c>
      <c r="T61" s="120" t="e">
        <f>#REF!+T66+T69</f>
        <v>#REF!</v>
      </c>
      <c r="U61" s="120" t="e">
        <f>#REF!+U66+U69</f>
        <v>#REF!</v>
      </c>
      <c r="V61" s="120" t="e">
        <f>#REF!+V66+V69</f>
        <v>#REF!</v>
      </c>
      <c r="W61" s="120" t="e">
        <f>#REF!+W66+W69</f>
        <v>#REF!</v>
      </c>
    </row>
    <row r="62" spans="1:23" s="57" customFormat="1" ht="19.5" customHeight="1">
      <c r="A62" s="24">
        <v>1</v>
      </c>
      <c r="B62" s="119" t="s">
        <v>40</v>
      </c>
      <c r="C62" s="24"/>
      <c r="D62" s="24"/>
      <c r="E62" s="24"/>
      <c r="F62" s="24"/>
      <c r="G62" s="120">
        <f>G63+G64</f>
        <v>2423.3</v>
      </c>
      <c r="H62" s="120">
        <f aca="true" t="shared" si="16" ref="H62:R62">H63+H64</f>
        <v>2203</v>
      </c>
      <c r="I62" s="120">
        <f t="shared" si="16"/>
        <v>220.3</v>
      </c>
      <c r="J62" s="120">
        <f t="shared" si="16"/>
        <v>2423.3</v>
      </c>
      <c r="K62" s="120">
        <f t="shared" si="16"/>
        <v>2203</v>
      </c>
      <c r="L62" s="120">
        <f t="shared" si="16"/>
        <v>220.3</v>
      </c>
      <c r="M62" s="120">
        <f t="shared" si="16"/>
        <v>0</v>
      </c>
      <c r="N62" s="120">
        <f t="shared" si="16"/>
        <v>0</v>
      </c>
      <c r="O62" s="120">
        <f t="shared" si="16"/>
        <v>0</v>
      </c>
      <c r="P62" s="120">
        <f t="shared" si="16"/>
        <v>200</v>
      </c>
      <c r="Q62" s="120">
        <f t="shared" si="16"/>
        <v>200</v>
      </c>
      <c r="R62" s="120">
        <f t="shared" si="16"/>
        <v>0</v>
      </c>
      <c r="S62" s="120"/>
      <c r="T62" s="199"/>
      <c r="U62" s="200"/>
      <c r="V62" s="201"/>
      <c r="W62" s="120"/>
    </row>
    <row r="63" spans="1:23" s="64" customFormat="1" ht="44.25" customHeight="1">
      <c r="A63" s="55">
        <v>1</v>
      </c>
      <c r="B63" s="55" t="s">
        <v>101</v>
      </c>
      <c r="C63" s="44" t="s">
        <v>62</v>
      </c>
      <c r="D63" s="44" t="s">
        <v>52</v>
      </c>
      <c r="E63" s="44" t="s">
        <v>118</v>
      </c>
      <c r="F63" s="55"/>
      <c r="G63" s="70">
        <v>1307.9</v>
      </c>
      <c r="H63" s="70">
        <v>1189</v>
      </c>
      <c r="I63" s="70">
        <v>118.9</v>
      </c>
      <c r="J63" s="114">
        <v>1307.9</v>
      </c>
      <c r="K63" s="114">
        <v>1189</v>
      </c>
      <c r="L63" s="114">
        <v>118.9</v>
      </c>
      <c r="M63" s="70"/>
      <c r="N63" s="70"/>
      <c r="O63" s="70"/>
      <c r="P63" s="68">
        <f>SUM(Q63:R63)</f>
        <v>100</v>
      </c>
      <c r="Q63" s="70">
        <v>100</v>
      </c>
      <c r="R63" s="70">
        <v>0</v>
      </c>
      <c r="S63" s="101"/>
      <c r="W63" s="44"/>
    </row>
    <row r="64" spans="1:23" s="102" customFormat="1" ht="51" customHeight="1">
      <c r="A64" s="92">
        <v>2</v>
      </c>
      <c r="B64" s="92" t="s">
        <v>98</v>
      </c>
      <c r="C64" s="32" t="s">
        <v>62</v>
      </c>
      <c r="D64" s="32" t="s">
        <v>53</v>
      </c>
      <c r="E64" s="32" t="s">
        <v>118</v>
      </c>
      <c r="F64" s="92"/>
      <c r="G64" s="67">
        <v>1115.4</v>
      </c>
      <c r="H64" s="67">
        <v>1014</v>
      </c>
      <c r="I64" s="67">
        <v>101.4</v>
      </c>
      <c r="J64" s="95">
        <v>1115.4</v>
      </c>
      <c r="K64" s="95">
        <v>1014</v>
      </c>
      <c r="L64" s="95">
        <v>101.4</v>
      </c>
      <c r="M64" s="67"/>
      <c r="N64" s="67"/>
      <c r="O64" s="67"/>
      <c r="P64" s="68">
        <f>SUM(Q64:R64)</f>
        <v>100</v>
      </c>
      <c r="Q64" s="67">
        <v>100</v>
      </c>
      <c r="R64" s="67">
        <v>0</v>
      </c>
      <c r="S64" s="92"/>
      <c r="W64" s="92"/>
    </row>
    <row r="65" spans="1:23" s="57" customFormat="1" ht="28.5" customHeight="1">
      <c r="A65" s="24">
        <v>2</v>
      </c>
      <c r="B65" s="119" t="s">
        <v>192</v>
      </c>
      <c r="C65" s="24"/>
      <c r="D65" s="24"/>
      <c r="E65" s="24"/>
      <c r="F65" s="24"/>
      <c r="G65" s="120">
        <f>G66+G69+G71</f>
        <v>4019.9</v>
      </c>
      <c r="H65" s="120">
        <f aca="true" t="shared" si="17" ref="H65:R65">H66+H69+H71</f>
        <v>3666</v>
      </c>
      <c r="I65" s="120">
        <f t="shared" si="17"/>
        <v>353.9</v>
      </c>
      <c r="J65" s="120">
        <f t="shared" si="17"/>
        <v>4019.9</v>
      </c>
      <c r="K65" s="120">
        <f t="shared" si="17"/>
        <v>3666</v>
      </c>
      <c r="L65" s="120">
        <f t="shared" si="17"/>
        <v>353.9</v>
      </c>
      <c r="M65" s="120">
        <f t="shared" si="17"/>
        <v>1165</v>
      </c>
      <c r="N65" s="120">
        <f t="shared" si="17"/>
        <v>1165</v>
      </c>
      <c r="O65" s="120">
        <f t="shared" si="17"/>
        <v>0</v>
      </c>
      <c r="P65" s="120">
        <f t="shared" si="17"/>
        <v>3259</v>
      </c>
      <c r="Q65" s="120">
        <f t="shared" si="17"/>
        <v>2850</v>
      </c>
      <c r="R65" s="120">
        <f t="shared" si="17"/>
        <v>409</v>
      </c>
      <c r="S65" s="120"/>
      <c r="T65" s="199"/>
      <c r="U65" s="200"/>
      <c r="V65" s="201"/>
      <c r="W65" s="120"/>
    </row>
    <row r="66" spans="1:23" s="12" customFormat="1" ht="33" customHeight="1">
      <c r="A66" s="218" t="s">
        <v>18</v>
      </c>
      <c r="B66" s="53" t="s">
        <v>91</v>
      </c>
      <c r="C66" s="106"/>
      <c r="D66" s="93"/>
      <c r="E66" s="106"/>
      <c r="F66" s="52"/>
      <c r="G66" s="242">
        <f>G67+G68</f>
        <v>2225.3</v>
      </c>
      <c r="H66" s="242">
        <f aca="true" t="shared" si="18" ref="H66:R66">H67+H68</f>
        <v>2023</v>
      </c>
      <c r="I66" s="242">
        <f t="shared" si="18"/>
        <v>202.29999999999995</v>
      </c>
      <c r="J66" s="242">
        <f t="shared" si="18"/>
        <v>2225.3</v>
      </c>
      <c r="K66" s="242">
        <f t="shared" si="18"/>
        <v>2023</v>
      </c>
      <c r="L66" s="242">
        <f t="shared" si="18"/>
        <v>202.29999999999995</v>
      </c>
      <c r="M66" s="242">
        <f t="shared" si="18"/>
        <v>1038</v>
      </c>
      <c r="N66" s="242">
        <f t="shared" si="18"/>
        <v>1038</v>
      </c>
      <c r="O66" s="242">
        <f t="shared" si="18"/>
        <v>0</v>
      </c>
      <c r="P66" s="242">
        <f t="shared" si="18"/>
        <v>1187</v>
      </c>
      <c r="Q66" s="242">
        <f t="shared" si="18"/>
        <v>985</v>
      </c>
      <c r="R66" s="242">
        <f t="shared" si="18"/>
        <v>202</v>
      </c>
      <c r="S66" s="94"/>
      <c r="T66" s="331"/>
      <c r="U66" s="329"/>
      <c r="W66" s="77"/>
    </row>
    <row r="67" spans="1:23" s="64" customFormat="1" ht="79.5" customHeight="1">
      <c r="A67" s="55">
        <v>1</v>
      </c>
      <c r="B67" s="55" t="s">
        <v>65</v>
      </c>
      <c r="C67" s="44" t="s">
        <v>62</v>
      </c>
      <c r="D67" s="44" t="s">
        <v>52</v>
      </c>
      <c r="E67" s="44" t="s">
        <v>66</v>
      </c>
      <c r="F67" s="55"/>
      <c r="G67" s="70">
        <v>1345.3</v>
      </c>
      <c r="H67" s="70">
        <v>1223</v>
      </c>
      <c r="I67" s="70">
        <f>G67-H67</f>
        <v>122.29999999999995</v>
      </c>
      <c r="J67" s="114">
        <v>1345.3</v>
      </c>
      <c r="K67" s="114">
        <v>1223</v>
      </c>
      <c r="L67" s="114">
        <f>J67-K67</f>
        <v>122.29999999999995</v>
      </c>
      <c r="M67" s="69">
        <f>N67</f>
        <v>818</v>
      </c>
      <c r="N67" s="69">
        <f>708+110</f>
        <v>818</v>
      </c>
      <c r="O67" s="69">
        <v>0</v>
      </c>
      <c r="P67" s="69">
        <f>SUM(Q67:R67)</f>
        <v>527</v>
      </c>
      <c r="Q67" s="69">
        <v>405</v>
      </c>
      <c r="R67" s="69">
        <v>122</v>
      </c>
      <c r="S67" s="101"/>
      <c r="T67" s="62">
        <v>110</v>
      </c>
      <c r="U67" s="63">
        <v>110</v>
      </c>
      <c r="W67" s="44" t="s">
        <v>102</v>
      </c>
    </row>
    <row r="68" spans="1:23" s="102" customFormat="1" ht="57" customHeight="1">
      <c r="A68" s="92">
        <v>2</v>
      </c>
      <c r="B68" s="92" t="s">
        <v>67</v>
      </c>
      <c r="C68" s="32" t="s">
        <v>62</v>
      </c>
      <c r="D68" s="32" t="s">
        <v>53</v>
      </c>
      <c r="E68" s="32" t="s">
        <v>66</v>
      </c>
      <c r="F68" s="92"/>
      <c r="G68" s="68">
        <v>880</v>
      </c>
      <c r="H68" s="68">
        <v>800</v>
      </c>
      <c r="I68" s="68">
        <f>G68-H68</f>
        <v>80</v>
      </c>
      <c r="J68" s="114">
        <v>880</v>
      </c>
      <c r="K68" s="114">
        <v>800</v>
      </c>
      <c r="L68" s="114">
        <f>J68-K68</f>
        <v>80</v>
      </c>
      <c r="M68" s="67">
        <f>N68</f>
        <v>220</v>
      </c>
      <c r="N68" s="67">
        <f>169+51</f>
        <v>220</v>
      </c>
      <c r="O68" s="67">
        <v>0</v>
      </c>
      <c r="P68" s="67">
        <f>SUM(Q68:R68)</f>
        <v>660</v>
      </c>
      <c r="Q68" s="67">
        <v>580</v>
      </c>
      <c r="R68" s="67">
        <v>80</v>
      </c>
      <c r="S68" s="32"/>
      <c r="T68" s="103">
        <v>51</v>
      </c>
      <c r="U68" s="104">
        <v>51</v>
      </c>
      <c r="W68" s="32" t="s">
        <v>103</v>
      </c>
    </row>
    <row r="69" spans="1:23" s="65" customFormat="1" ht="33" customHeight="1">
      <c r="A69" s="218" t="s">
        <v>21</v>
      </c>
      <c r="B69" s="53" t="s">
        <v>92</v>
      </c>
      <c r="C69" s="106"/>
      <c r="D69" s="93"/>
      <c r="E69" s="106"/>
      <c r="F69" s="52"/>
      <c r="G69" s="242">
        <f>G70</f>
        <v>1794.6</v>
      </c>
      <c r="H69" s="242">
        <f aca="true" t="shared" si="19" ref="H69:R69">H70</f>
        <v>1643</v>
      </c>
      <c r="I69" s="242">
        <f t="shared" si="19"/>
        <v>151.6</v>
      </c>
      <c r="J69" s="242">
        <f t="shared" si="19"/>
        <v>1794.6</v>
      </c>
      <c r="K69" s="242">
        <f t="shared" si="19"/>
        <v>1643</v>
      </c>
      <c r="L69" s="242">
        <f t="shared" si="19"/>
        <v>151.6</v>
      </c>
      <c r="M69" s="242">
        <f t="shared" si="19"/>
        <v>127</v>
      </c>
      <c r="N69" s="242">
        <f t="shared" si="19"/>
        <v>127</v>
      </c>
      <c r="O69" s="242">
        <f t="shared" si="19"/>
        <v>0</v>
      </c>
      <c r="P69" s="242">
        <f t="shared" si="19"/>
        <v>1081</v>
      </c>
      <c r="Q69" s="242">
        <f t="shared" si="19"/>
        <v>982</v>
      </c>
      <c r="R69" s="242">
        <f t="shared" si="19"/>
        <v>99</v>
      </c>
      <c r="S69" s="94"/>
      <c r="W69" s="52"/>
    </row>
    <row r="70" spans="1:23" s="102" customFormat="1" ht="40.5" customHeight="1">
      <c r="A70" s="92">
        <v>1</v>
      </c>
      <c r="B70" s="92" t="s">
        <v>64</v>
      </c>
      <c r="C70" s="32" t="s">
        <v>62</v>
      </c>
      <c r="D70" s="32" t="s">
        <v>51</v>
      </c>
      <c r="E70" s="32" t="s">
        <v>118</v>
      </c>
      <c r="F70" s="92"/>
      <c r="G70" s="68">
        <v>1794.6</v>
      </c>
      <c r="H70" s="68">
        <v>1643</v>
      </c>
      <c r="I70" s="68">
        <v>151.6</v>
      </c>
      <c r="J70" s="114">
        <v>1794.6</v>
      </c>
      <c r="K70" s="114">
        <v>1643</v>
      </c>
      <c r="L70" s="114">
        <v>151.6</v>
      </c>
      <c r="M70" s="68">
        <v>127</v>
      </c>
      <c r="N70" s="68">
        <v>127</v>
      </c>
      <c r="O70" s="68">
        <v>0</v>
      </c>
      <c r="P70" s="68">
        <f>SUM(Q70:R70)</f>
        <v>1081</v>
      </c>
      <c r="Q70" s="68">
        <v>982</v>
      </c>
      <c r="R70" s="68">
        <v>99</v>
      </c>
      <c r="S70" s="32"/>
      <c r="W70" s="32"/>
    </row>
    <row r="71" spans="1:23" s="204" customFormat="1" ht="37.5" customHeight="1">
      <c r="A71" s="202" t="s">
        <v>22</v>
      </c>
      <c r="B71" s="202" t="s">
        <v>223</v>
      </c>
      <c r="C71" s="203"/>
      <c r="D71" s="203"/>
      <c r="E71" s="203"/>
      <c r="F71" s="202"/>
      <c r="G71" s="148"/>
      <c r="H71" s="148"/>
      <c r="I71" s="148"/>
      <c r="J71" s="113"/>
      <c r="K71" s="113"/>
      <c r="L71" s="113"/>
      <c r="M71" s="148"/>
      <c r="N71" s="148"/>
      <c r="O71" s="148"/>
      <c r="P71" s="148">
        <f>P72+P73</f>
        <v>991</v>
      </c>
      <c r="Q71" s="148">
        <f>Q72+Q73</f>
        <v>883</v>
      </c>
      <c r="R71" s="148">
        <f>R72+R73</f>
        <v>108</v>
      </c>
      <c r="S71" s="203"/>
      <c r="W71" s="203"/>
    </row>
    <row r="72" spans="1:24" s="254" customFormat="1" ht="44.25" customHeight="1">
      <c r="A72" s="216">
        <v>1</v>
      </c>
      <c r="B72" s="216" t="s">
        <v>101</v>
      </c>
      <c r="C72" s="101" t="s">
        <v>62</v>
      </c>
      <c r="D72" s="101" t="s">
        <v>52</v>
      </c>
      <c r="E72" s="101" t="s">
        <v>118</v>
      </c>
      <c r="F72" s="216"/>
      <c r="G72" s="114"/>
      <c r="H72" s="114"/>
      <c r="I72" s="114"/>
      <c r="J72" s="114">
        <v>1307.9</v>
      </c>
      <c r="K72" s="114">
        <v>1189</v>
      </c>
      <c r="L72" s="114">
        <v>118.9</v>
      </c>
      <c r="M72" s="114"/>
      <c r="N72" s="114"/>
      <c r="O72" s="114"/>
      <c r="P72" s="114">
        <f>SUM(Q72:R72)</f>
        <v>592</v>
      </c>
      <c r="Q72" s="114">
        <f>629-100</f>
        <v>529</v>
      </c>
      <c r="R72" s="114">
        <v>63</v>
      </c>
      <c r="S72" s="101"/>
      <c r="W72" s="101"/>
      <c r="X72" s="361" t="s">
        <v>228</v>
      </c>
    </row>
    <row r="73" spans="1:24" s="254" customFormat="1" ht="33">
      <c r="A73" s="216">
        <v>2</v>
      </c>
      <c r="B73" s="216" t="s">
        <v>98</v>
      </c>
      <c r="C73" s="101" t="s">
        <v>62</v>
      </c>
      <c r="D73" s="101" t="s">
        <v>53</v>
      </c>
      <c r="E73" s="101" t="s">
        <v>118</v>
      </c>
      <c r="F73" s="216"/>
      <c r="G73" s="95"/>
      <c r="H73" s="95"/>
      <c r="I73" s="95"/>
      <c r="J73" s="95">
        <v>1115.4</v>
      </c>
      <c r="K73" s="95">
        <v>1014</v>
      </c>
      <c r="L73" s="95">
        <v>101.4</v>
      </c>
      <c r="M73" s="95"/>
      <c r="N73" s="95"/>
      <c r="O73" s="95"/>
      <c r="P73" s="114">
        <f>SUM(Q73:R73)</f>
        <v>399</v>
      </c>
      <c r="Q73" s="95">
        <f>454-100</f>
        <v>354</v>
      </c>
      <c r="R73" s="95">
        <v>45</v>
      </c>
      <c r="S73" s="216"/>
      <c r="W73" s="216"/>
      <c r="X73" s="361"/>
    </row>
    <row r="75" spans="1:18" ht="33.75" customHeight="1">
      <c r="A75" s="362" t="s">
        <v>226</v>
      </c>
      <c r="B75" s="362"/>
      <c r="C75" s="362"/>
      <c r="D75" s="362"/>
      <c r="E75" s="362"/>
      <c r="F75" s="362"/>
      <c r="G75" s="362"/>
      <c r="H75" s="362"/>
      <c r="I75" s="362"/>
      <c r="J75" s="362"/>
      <c r="K75" s="362"/>
      <c r="L75" s="362"/>
      <c r="M75" s="362"/>
      <c r="N75" s="362"/>
      <c r="O75" s="362"/>
      <c r="P75" s="362"/>
      <c r="Q75" s="362"/>
      <c r="R75" s="362"/>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10" customWidth="1"/>
    <col min="2" max="2" width="47.8515625" style="8" customWidth="1"/>
    <col min="3" max="3" width="11.8515625" style="10" customWidth="1"/>
    <col min="4" max="4" width="12.8515625" style="10" customWidth="1"/>
    <col min="5" max="5" width="8.421875" style="10" customWidth="1"/>
    <col min="6" max="6" width="13.7109375" style="10" customWidth="1"/>
    <col min="7" max="7" width="12.7109375" style="8" customWidth="1"/>
    <col min="8" max="8" width="13.421875" style="8" customWidth="1"/>
    <col min="9" max="9" width="14.00390625" style="84" customWidth="1"/>
    <col min="10" max="10" width="11.7109375" style="84" customWidth="1"/>
    <col min="11" max="13" width="10.140625" style="66" hidden="1" customWidth="1"/>
    <col min="14" max="14" width="1.421875" style="66" hidden="1" customWidth="1"/>
    <col min="15" max="18" width="10.140625" style="8" customWidth="1"/>
    <col min="19" max="20" width="0" style="8" hidden="1" customWidth="1"/>
    <col min="21" max="16384" width="9.140625" style="8" customWidth="1"/>
  </cols>
  <sheetData>
    <row r="1" spans="1:18" ht="34.5" customHeight="1">
      <c r="A1" s="333" t="s">
        <v>78</v>
      </c>
      <c r="B1" s="333"/>
      <c r="C1" s="333"/>
      <c r="D1" s="333"/>
      <c r="E1" s="333"/>
      <c r="F1" s="333"/>
      <c r="G1" s="333"/>
      <c r="H1" s="333"/>
      <c r="I1" s="333"/>
      <c r="J1" s="333"/>
      <c r="K1" s="333"/>
      <c r="L1" s="333"/>
      <c r="M1" s="333"/>
      <c r="N1" s="333"/>
      <c r="O1" s="333"/>
      <c r="P1" s="333"/>
      <c r="Q1" s="333"/>
      <c r="R1" s="333"/>
    </row>
    <row r="2" spans="1:18" ht="34.5" customHeight="1" hidden="1">
      <c r="A2" s="334" t="e">
        <f>'B.01_TH'!#REF!</f>
        <v>#REF!</v>
      </c>
      <c r="B2" s="334"/>
      <c r="C2" s="334"/>
      <c r="D2" s="334"/>
      <c r="E2" s="334"/>
      <c r="F2" s="334"/>
      <c r="G2" s="334"/>
      <c r="H2" s="334"/>
      <c r="I2" s="334"/>
      <c r="J2" s="334"/>
      <c r="K2" s="334"/>
      <c r="L2" s="334"/>
      <c r="M2" s="334"/>
      <c r="N2" s="334"/>
      <c r="O2" s="334"/>
      <c r="P2" s="334"/>
      <c r="Q2" s="334"/>
      <c r="R2" s="334"/>
    </row>
    <row r="3" spans="1:18" ht="34.5" customHeight="1">
      <c r="A3" s="334" t="e">
        <f>'B.01_TH'!#REF!</f>
        <v>#REF!</v>
      </c>
      <c r="B3" s="334"/>
      <c r="C3" s="334"/>
      <c r="D3" s="334"/>
      <c r="E3" s="334"/>
      <c r="F3" s="334"/>
      <c r="G3" s="334"/>
      <c r="H3" s="334"/>
      <c r="I3" s="334"/>
      <c r="J3" s="334"/>
      <c r="K3" s="334"/>
      <c r="L3" s="334"/>
      <c r="M3" s="334"/>
      <c r="N3" s="334"/>
      <c r="O3" s="334"/>
      <c r="P3" s="334"/>
      <c r="Q3" s="334"/>
      <c r="R3" s="334"/>
    </row>
    <row r="4" spans="1:18" ht="34.5" customHeight="1" hidden="1">
      <c r="A4" s="334" t="e">
        <f>'B.01_TH'!#REF!</f>
        <v>#REF!</v>
      </c>
      <c r="B4" s="334"/>
      <c r="C4" s="334"/>
      <c r="D4" s="334"/>
      <c r="E4" s="334"/>
      <c r="F4" s="334"/>
      <c r="G4" s="334"/>
      <c r="H4" s="334"/>
      <c r="I4" s="334"/>
      <c r="J4" s="334"/>
      <c r="K4" s="334"/>
      <c r="L4" s="334"/>
      <c r="M4" s="334"/>
      <c r="N4" s="334"/>
      <c r="O4" s="334"/>
      <c r="P4" s="334"/>
      <c r="Q4" s="334"/>
      <c r="R4" s="334"/>
    </row>
    <row r="5" spans="1:18" ht="34.5" customHeight="1" hidden="1">
      <c r="A5" s="334" t="s">
        <v>156</v>
      </c>
      <c r="B5" s="334"/>
      <c r="C5" s="334"/>
      <c r="D5" s="334"/>
      <c r="E5" s="334"/>
      <c r="F5" s="334"/>
      <c r="G5" s="334"/>
      <c r="H5" s="334"/>
      <c r="I5" s="334"/>
      <c r="J5" s="334"/>
      <c r="K5" s="334"/>
      <c r="L5" s="334"/>
      <c r="M5" s="334"/>
      <c r="N5" s="334"/>
      <c r="O5" s="334"/>
      <c r="P5" s="334"/>
      <c r="Q5" s="334"/>
      <c r="R5" s="334"/>
    </row>
    <row r="6" spans="1:18" ht="34.5" customHeight="1" hidden="1">
      <c r="A6" s="334" t="e">
        <f>'B.01_TH'!#REF!</f>
        <v>#REF!</v>
      </c>
      <c r="B6" s="334"/>
      <c r="C6" s="334"/>
      <c r="D6" s="334"/>
      <c r="E6" s="334"/>
      <c r="F6" s="334"/>
      <c r="G6" s="334"/>
      <c r="H6" s="334"/>
      <c r="I6" s="334"/>
      <c r="J6" s="334"/>
      <c r="K6" s="334"/>
      <c r="L6" s="334"/>
      <c r="M6" s="334"/>
      <c r="N6" s="334"/>
      <c r="O6" s="334"/>
      <c r="P6" s="334"/>
      <c r="Q6" s="334"/>
      <c r="R6" s="334"/>
    </row>
    <row r="7" spans="14:18" ht="34.5" customHeight="1">
      <c r="N7" s="332" t="s">
        <v>33</v>
      </c>
      <c r="O7" s="332"/>
      <c r="P7" s="332"/>
      <c r="Q7" s="332"/>
      <c r="R7" s="332"/>
    </row>
    <row r="8" spans="1:18" s="12" customFormat="1" ht="57.75" customHeight="1">
      <c r="A8" s="329" t="s">
        <v>1</v>
      </c>
      <c r="B8" s="329" t="s">
        <v>34</v>
      </c>
      <c r="C8" s="329" t="s">
        <v>9</v>
      </c>
      <c r="D8" s="329" t="s">
        <v>35</v>
      </c>
      <c r="E8" s="329" t="s">
        <v>60</v>
      </c>
      <c r="F8" s="329" t="s">
        <v>11</v>
      </c>
      <c r="G8" s="329"/>
      <c r="H8" s="329"/>
      <c r="I8" s="308" t="s">
        <v>36</v>
      </c>
      <c r="J8" s="308"/>
      <c r="K8" s="325" t="s">
        <v>61</v>
      </c>
      <c r="L8" s="325"/>
      <c r="M8" s="325" t="s">
        <v>38</v>
      </c>
      <c r="N8" s="325"/>
      <c r="O8" s="329" t="s">
        <v>109</v>
      </c>
      <c r="P8" s="329"/>
      <c r="Q8" s="329" t="s">
        <v>87</v>
      </c>
      <c r="R8" s="329"/>
    </row>
    <row r="9" spans="1:18" s="12" customFormat="1" ht="43.5" customHeight="1">
      <c r="A9" s="329"/>
      <c r="B9" s="329"/>
      <c r="C9" s="329"/>
      <c r="D9" s="329"/>
      <c r="E9" s="329"/>
      <c r="F9" s="329" t="s">
        <v>15</v>
      </c>
      <c r="G9" s="329" t="s">
        <v>12</v>
      </c>
      <c r="H9" s="329" t="s">
        <v>13</v>
      </c>
      <c r="I9" s="308" t="s">
        <v>16</v>
      </c>
      <c r="J9" s="308" t="s">
        <v>13</v>
      </c>
      <c r="K9" s="325" t="s">
        <v>16</v>
      </c>
      <c r="L9" s="325" t="s">
        <v>13</v>
      </c>
      <c r="M9" s="325" t="s">
        <v>16</v>
      </c>
      <c r="N9" s="325" t="s">
        <v>13</v>
      </c>
      <c r="O9" s="329" t="s">
        <v>16</v>
      </c>
      <c r="P9" s="329" t="s">
        <v>13</v>
      </c>
      <c r="Q9" s="329" t="s">
        <v>16</v>
      </c>
      <c r="R9" s="329" t="s">
        <v>13</v>
      </c>
    </row>
    <row r="10" spans="1:18" s="12" customFormat="1" ht="43.5" customHeight="1">
      <c r="A10" s="329"/>
      <c r="B10" s="329"/>
      <c r="C10" s="329"/>
      <c r="D10" s="329"/>
      <c r="E10" s="329"/>
      <c r="F10" s="329"/>
      <c r="G10" s="329"/>
      <c r="H10" s="329"/>
      <c r="I10" s="308"/>
      <c r="J10" s="308"/>
      <c r="K10" s="325"/>
      <c r="L10" s="325"/>
      <c r="M10" s="325"/>
      <c r="N10" s="325"/>
      <c r="O10" s="329"/>
      <c r="P10" s="329"/>
      <c r="Q10" s="329"/>
      <c r="R10" s="329"/>
    </row>
    <row r="11" spans="1:18" s="25" customFormat="1" ht="16.5" customHeight="1" hidden="1">
      <c r="A11" s="26">
        <v>1</v>
      </c>
      <c r="B11" s="26">
        <v>2</v>
      </c>
      <c r="C11" s="26">
        <v>3</v>
      </c>
      <c r="D11" s="26">
        <v>4</v>
      </c>
      <c r="E11" s="26">
        <v>5</v>
      </c>
      <c r="F11" s="26">
        <v>6</v>
      </c>
      <c r="G11" s="26">
        <v>7</v>
      </c>
      <c r="H11" s="26">
        <v>8</v>
      </c>
      <c r="I11" s="172">
        <v>9</v>
      </c>
      <c r="J11" s="172">
        <v>10</v>
      </c>
      <c r="K11" s="26">
        <v>11</v>
      </c>
      <c r="L11" s="26">
        <v>12</v>
      </c>
      <c r="M11" s="26">
        <v>13</v>
      </c>
      <c r="N11" s="26">
        <v>14</v>
      </c>
      <c r="O11" s="26">
        <v>15</v>
      </c>
      <c r="P11" s="26">
        <v>16</v>
      </c>
      <c r="Q11" s="26">
        <v>15</v>
      </c>
      <c r="R11" s="29">
        <v>16</v>
      </c>
    </row>
    <row r="12" spans="1:18" s="12" customFormat="1" ht="27.75" customHeight="1">
      <c r="A12" s="89"/>
      <c r="B12" s="89" t="s">
        <v>127</v>
      </c>
      <c r="C12" s="89"/>
      <c r="D12" s="89"/>
      <c r="E12" s="89"/>
      <c r="F12" s="89"/>
      <c r="G12" s="90">
        <f>G13+G16</f>
        <v>193540.66999999998</v>
      </c>
      <c r="H12" s="90">
        <f aca="true" t="shared" si="0" ref="H12:R12">H13+H16</f>
        <v>193540.66999999998</v>
      </c>
      <c r="I12" s="90">
        <f t="shared" si="0"/>
        <v>193540.66999999998</v>
      </c>
      <c r="J12" s="90">
        <f t="shared" si="0"/>
        <v>193540.66999999998</v>
      </c>
      <c r="K12" s="90">
        <f t="shared" si="0"/>
        <v>0</v>
      </c>
      <c r="L12" s="90">
        <f t="shared" si="0"/>
        <v>0</v>
      </c>
      <c r="M12" s="90">
        <f t="shared" si="0"/>
        <v>0</v>
      </c>
      <c r="N12" s="90">
        <f t="shared" si="0"/>
        <v>0</v>
      </c>
      <c r="O12" s="90">
        <f t="shared" si="0"/>
        <v>73252.39893</v>
      </c>
      <c r="P12" s="90">
        <f t="shared" si="0"/>
        <v>73252.39893</v>
      </c>
      <c r="Q12" s="90">
        <f t="shared" si="0"/>
        <v>31000</v>
      </c>
      <c r="R12" s="90">
        <f t="shared" si="0"/>
        <v>31000</v>
      </c>
    </row>
    <row r="13" spans="1:18" s="57" customFormat="1" ht="30.75" customHeight="1">
      <c r="A13" s="117" t="s">
        <v>4</v>
      </c>
      <c r="B13" s="110" t="s">
        <v>128</v>
      </c>
      <c r="C13" s="109"/>
      <c r="D13" s="109"/>
      <c r="E13" s="109"/>
      <c r="F13" s="109"/>
      <c r="G13" s="111">
        <f>G15</f>
        <v>114353</v>
      </c>
      <c r="H13" s="111">
        <f>H15</f>
        <v>114353</v>
      </c>
      <c r="I13" s="111">
        <f>I15</f>
        <v>114353</v>
      </c>
      <c r="J13" s="111">
        <f>J15</f>
        <v>114353</v>
      </c>
      <c r="K13" s="111">
        <f aca="true" t="shared" si="1" ref="K13:R13">K15</f>
        <v>0</v>
      </c>
      <c r="L13" s="111">
        <f t="shared" si="1"/>
        <v>0</v>
      </c>
      <c r="M13" s="111">
        <f t="shared" si="1"/>
        <v>0</v>
      </c>
      <c r="N13" s="111">
        <f t="shared" si="1"/>
        <v>0</v>
      </c>
      <c r="O13" s="111">
        <f t="shared" si="1"/>
        <v>73252.39893</v>
      </c>
      <c r="P13" s="111">
        <f t="shared" si="1"/>
        <v>73252.39893</v>
      </c>
      <c r="Q13" s="111">
        <f t="shared" si="1"/>
        <v>19000</v>
      </c>
      <c r="R13" s="111">
        <f t="shared" si="1"/>
        <v>19000</v>
      </c>
    </row>
    <row r="14" spans="1:18" s="10" customFormat="1" ht="83.25" customHeight="1">
      <c r="A14" s="32">
        <v>1</v>
      </c>
      <c r="B14" s="92" t="s">
        <v>137</v>
      </c>
      <c r="C14" s="32" t="s">
        <v>62</v>
      </c>
      <c r="D14" s="32" t="s">
        <v>134</v>
      </c>
      <c r="E14" s="32" t="s">
        <v>135</v>
      </c>
      <c r="F14" s="32" t="s">
        <v>187</v>
      </c>
      <c r="G14" s="116">
        <v>79000</v>
      </c>
      <c r="H14" s="116">
        <v>79000</v>
      </c>
      <c r="I14" s="116">
        <v>0</v>
      </c>
      <c r="J14" s="116">
        <v>0</v>
      </c>
      <c r="K14" s="95">
        <f>L14</f>
        <v>453.706</v>
      </c>
      <c r="L14" s="95">
        <v>453.706</v>
      </c>
      <c r="M14" s="95">
        <f>N14</f>
        <v>5900</v>
      </c>
      <c r="N14" s="95">
        <v>5900</v>
      </c>
      <c r="O14" s="67"/>
      <c r="P14" s="67"/>
      <c r="Q14" s="67"/>
      <c r="R14" s="67"/>
    </row>
    <row r="15" spans="1:20" s="10" customFormat="1" ht="83.25" customHeight="1">
      <c r="A15" s="32" t="s">
        <v>136</v>
      </c>
      <c r="B15" s="92" t="s">
        <v>138</v>
      </c>
      <c r="C15" s="32" t="s">
        <v>62</v>
      </c>
      <c r="D15" s="32" t="s">
        <v>134</v>
      </c>
      <c r="E15" s="32" t="s">
        <v>135</v>
      </c>
      <c r="F15" s="32" t="s">
        <v>186</v>
      </c>
      <c r="G15" s="116">
        <v>114353</v>
      </c>
      <c r="H15" s="116">
        <v>114353</v>
      </c>
      <c r="I15" s="116">
        <v>114353</v>
      </c>
      <c r="J15" s="116">
        <v>114353</v>
      </c>
      <c r="K15" s="95"/>
      <c r="L15" s="95"/>
      <c r="M15" s="95"/>
      <c r="N15" s="95"/>
      <c r="O15" s="67">
        <f>P15</f>
        <v>73252.39893</v>
      </c>
      <c r="P15" s="67">
        <f>'[3]Tổng hợp 5.11.18'!$M$13</f>
        <v>73252.39893</v>
      </c>
      <c r="Q15" s="67">
        <f>R15</f>
        <v>19000</v>
      </c>
      <c r="R15" s="67">
        <v>19000</v>
      </c>
      <c r="S15" s="118">
        <f>H15-P15</f>
        <v>41100.601070000004</v>
      </c>
      <c r="T15" s="118">
        <f>S15-R15</f>
        <v>22100.601070000004</v>
      </c>
    </row>
    <row r="16" spans="1:18" s="57" customFormat="1" ht="27.75" customHeight="1">
      <c r="A16" s="117" t="s">
        <v>6</v>
      </c>
      <c r="B16" s="110" t="s">
        <v>129</v>
      </c>
      <c r="C16" s="109"/>
      <c r="D16" s="109"/>
      <c r="E16" s="109"/>
      <c r="F16" s="109"/>
      <c r="G16" s="111">
        <f>G17</f>
        <v>79187.67</v>
      </c>
      <c r="H16" s="111">
        <f aca="true" t="shared" si="2" ref="H16:R16">H17</f>
        <v>79187.67</v>
      </c>
      <c r="I16" s="111">
        <f t="shared" si="2"/>
        <v>79187.67</v>
      </c>
      <c r="J16" s="111">
        <f t="shared" si="2"/>
        <v>79187.67</v>
      </c>
      <c r="K16" s="111">
        <f t="shared" si="2"/>
        <v>0</v>
      </c>
      <c r="L16" s="111">
        <f t="shared" si="2"/>
        <v>0</v>
      </c>
      <c r="M16" s="111">
        <f t="shared" si="2"/>
        <v>0</v>
      </c>
      <c r="N16" s="111">
        <f t="shared" si="2"/>
        <v>0</v>
      </c>
      <c r="O16" s="111">
        <v>0</v>
      </c>
      <c r="P16" s="111">
        <f t="shared" si="2"/>
        <v>0</v>
      </c>
      <c r="Q16" s="111">
        <f t="shared" si="2"/>
        <v>12000</v>
      </c>
      <c r="R16" s="111">
        <f t="shared" si="2"/>
        <v>12000</v>
      </c>
    </row>
    <row r="17" spans="1:18" s="102" customFormat="1" ht="83.25" customHeight="1">
      <c r="A17" s="32">
        <v>1</v>
      </c>
      <c r="B17" s="92" t="s">
        <v>139</v>
      </c>
      <c r="C17" s="32" t="s">
        <v>62</v>
      </c>
      <c r="D17" s="32" t="s">
        <v>134</v>
      </c>
      <c r="E17" s="32" t="s">
        <v>118</v>
      </c>
      <c r="F17" s="92"/>
      <c r="G17" s="67">
        <f>H17</f>
        <v>79187.67</v>
      </c>
      <c r="H17" s="67">
        <v>79187.67</v>
      </c>
      <c r="I17" s="69">
        <v>79187.67</v>
      </c>
      <c r="J17" s="69">
        <v>79187.67</v>
      </c>
      <c r="K17" s="67">
        <v>0</v>
      </c>
      <c r="L17" s="67">
        <v>0</v>
      </c>
      <c r="M17" s="67">
        <v>0</v>
      </c>
      <c r="N17" s="67">
        <v>0</v>
      </c>
      <c r="O17" s="67"/>
      <c r="P17" s="67"/>
      <c r="Q17" s="67">
        <f>R17</f>
        <v>12000</v>
      </c>
      <c r="R17" s="67">
        <v>12000</v>
      </c>
    </row>
    <row r="18" spans="1:18" ht="49.5" customHeight="1">
      <c r="A18" s="10" t="s">
        <v>130</v>
      </c>
      <c r="B18" s="363" t="s">
        <v>225</v>
      </c>
      <c r="C18" s="363"/>
      <c r="D18" s="363"/>
      <c r="E18" s="363"/>
      <c r="F18" s="363"/>
      <c r="G18" s="363"/>
      <c r="H18" s="363"/>
      <c r="I18" s="363"/>
      <c r="J18" s="363"/>
      <c r="K18" s="363"/>
      <c r="L18" s="363"/>
      <c r="M18" s="363"/>
      <c r="N18" s="363"/>
      <c r="O18" s="363"/>
      <c r="P18" s="363"/>
      <c r="Q18" s="363"/>
      <c r="R18" s="363"/>
    </row>
    <row r="19" spans="1:18" ht="36" customHeight="1">
      <c r="A19" s="10" t="s">
        <v>140</v>
      </c>
      <c r="B19" s="363" t="s">
        <v>133</v>
      </c>
      <c r="C19" s="363"/>
      <c r="D19" s="363"/>
      <c r="E19" s="363"/>
      <c r="F19" s="363"/>
      <c r="G19" s="363"/>
      <c r="H19" s="363"/>
      <c r="I19" s="363"/>
      <c r="J19" s="363"/>
      <c r="K19" s="363"/>
      <c r="L19" s="363"/>
      <c r="M19" s="363"/>
      <c r="N19" s="363"/>
      <c r="O19" s="363"/>
      <c r="P19" s="363"/>
      <c r="Q19" s="363"/>
      <c r="R19" s="363"/>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33" t="s">
        <v>147</v>
      </c>
      <c r="B1" s="333"/>
      <c r="C1" s="333"/>
      <c r="D1" s="333"/>
      <c r="E1" s="333"/>
      <c r="F1" s="333"/>
      <c r="G1" s="333"/>
      <c r="H1" s="333"/>
      <c r="I1" s="57"/>
    </row>
    <row r="2" spans="1:9" ht="31.5" customHeight="1" hidden="1">
      <c r="A2" s="335" t="e">
        <f>'B.01_TH'!#REF!</f>
        <v>#REF!</v>
      </c>
      <c r="B2" s="335"/>
      <c r="C2" s="335"/>
      <c r="D2" s="335"/>
      <c r="E2" s="335"/>
      <c r="F2" s="335"/>
      <c r="G2" s="335"/>
      <c r="H2" s="335"/>
      <c r="I2" s="57"/>
    </row>
    <row r="3" spans="1:9" ht="30" customHeight="1">
      <c r="A3" s="335" t="e">
        <f>'B.01_TH'!#REF!</f>
        <v>#REF!</v>
      </c>
      <c r="B3" s="335"/>
      <c r="C3" s="335"/>
      <c r="D3" s="335"/>
      <c r="E3" s="335"/>
      <c r="F3" s="335"/>
      <c r="G3" s="335"/>
      <c r="H3" s="335"/>
      <c r="I3" s="57"/>
    </row>
    <row r="4" spans="1:9" ht="22.5" customHeight="1" hidden="1">
      <c r="A4" s="335" t="e">
        <f>'B.01_TH'!#REF!</f>
        <v>#REF!</v>
      </c>
      <c r="B4" s="335"/>
      <c r="C4" s="335"/>
      <c r="D4" s="335"/>
      <c r="E4" s="335"/>
      <c r="F4" s="335"/>
      <c r="G4" s="335"/>
      <c r="H4" s="335"/>
      <c r="I4" s="57"/>
    </row>
    <row r="5" spans="1:9" ht="30" customHeight="1" hidden="1">
      <c r="A5" s="335" t="s">
        <v>156</v>
      </c>
      <c r="B5" s="335"/>
      <c r="C5" s="335"/>
      <c r="D5" s="335"/>
      <c r="E5" s="335"/>
      <c r="F5" s="335"/>
      <c r="G5" s="335"/>
      <c r="H5" s="335"/>
      <c r="I5" s="57"/>
    </row>
    <row r="6" spans="1:9" ht="30" customHeight="1" hidden="1">
      <c r="A6" s="335" t="e">
        <f>'B.01_TH'!#REF!</f>
        <v>#REF!</v>
      </c>
      <c r="B6" s="335"/>
      <c r="C6" s="335"/>
      <c r="D6" s="335"/>
      <c r="E6" s="335"/>
      <c r="F6" s="335"/>
      <c r="G6" s="335"/>
      <c r="H6" s="335"/>
      <c r="I6" s="57"/>
    </row>
    <row r="7" spans="1:9" ht="20.25" customHeight="1">
      <c r="A7" s="10"/>
      <c r="B7" s="8"/>
      <c r="C7" s="10"/>
      <c r="D7" s="10"/>
      <c r="E7" s="138"/>
      <c r="F7" s="138"/>
      <c r="G7" s="356" t="s">
        <v>151</v>
      </c>
      <c r="H7" s="356"/>
      <c r="I7" s="107"/>
    </row>
    <row r="8" spans="1:9" ht="89.25" customHeight="1">
      <c r="A8" s="105" t="s">
        <v>1</v>
      </c>
      <c r="B8" s="105" t="s">
        <v>34</v>
      </c>
      <c r="C8" s="105" t="s">
        <v>10</v>
      </c>
      <c r="D8" s="105" t="s">
        <v>35</v>
      </c>
      <c r="E8" s="124" t="s">
        <v>148</v>
      </c>
      <c r="F8" s="248" t="s">
        <v>109</v>
      </c>
      <c r="G8" s="248" t="s">
        <v>149</v>
      </c>
      <c r="H8" s="123" t="s">
        <v>3</v>
      </c>
      <c r="I8" s="140"/>
    </row>
    <row r="9" spans="1:9" ht="115.5" customHeight="1">
      <c r="A9" s="21">
        <v>1</v>
      </c>
      <c r="B9" s="144" t="s">
        <v>150</v>
      </c>
      <c r="C9" s="21" t="s">
        <v>52</v>
      </c>
      <c r="D9" s="21" t="s">
        <v>52</v>
      </c>
      <c r="E9" s="145">
        <v>20</v>
      </c>
      <c r="F9" s="145">
        <v>19</v>
      </c>
      <c r="G9" s="145">
        <v>1</v>
      </c>
      <c r="H9" s="146"/>
      <c r="I9" s="140"/>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205" t="s">
        <v>209</v>
      </c>
      <c r="B2" s="205" t="s">
        <v>207</v>
      </c>
      <c r="C2" s="205" t="s">
        <v>12</v>
      </c>
      <c r="D2" s="205" t="s">
        <v>208</v>
      </c>
    </row>
    <row r="3" spans="1:4" ht="15">
      <c r="A3" s="206">
        <v>1</v>
      </c>
      <c r="B3" s="208" t="s">
        <v>44</v>
      </c>
      <c r="C3" s="211">
        <v>1590000000</v>
      </c>
      <c r="D3" s="211">
        <v>176343000</v>
      </c>
    </row>
    <row r="4" spans="1:4" ht="15">
      <c r="A4" s="206">
        <v>2</v>
      </c>
      <c r="B4" s="208" t="s">
        <v>210</v>
      </c>
      <c r="C4" s="211">
        <v>5481990000</v>
      </c>
      <c r="D4" s="211">
        <v>348541295</v>
      </c>
    </row>
    <row r="5" spans="1:4" ht="15">
      <c r="A5" s="206">
        <v>3</v>
      </c>
      <c r="B5" s="209" t="s">
        <v>83</v>
      </c>
      <c r="C5" s="211">
        <v>1958000000</v>
      </c>
      <c r="D5" s="211">
        <v>255891445</v>
      </c>
    </row>
    <row r="6" spans="1:4" ht="30">
      <c r="A6" s="206">
        <v>4</v>
      </c>
      <c r="B6" s="209" t="s">
        <v>211</v>
      </c>
      <c r="C6" s="211">
        <v>3780000000</v>
      </c>
      <c r="D6" s="211">
        <v>346002892</v>
      </c>
    </row>
    <row r="7" spans="1:4" ht="15">
      <c r="A7" s="206">
        <v>5</v>
      </c>
      <c r="B7" s="208" t="s">
        <v>41</v>
      </c>
      <c r="C7" s="211">
        <v>4453496000</v>
      </c>
      <c r="D7" s="211">
        <v>207223000</v>
      </c>
    </row>
    <row r="8" spans="1:4" ht="15">
      <c r="A8" s="206">
        <v>6</v>
      </c>
      <c r="B8" s="208" t="s">
        <v>47</v>
      </c>
      <c r="C8" s="211">
        <v>3386867679</v>
      </c>
      <c r="D8" s="211">
        <v>355968758</v>
      </c>
    </row>
    <row r="9" spans="1:4" ht="15">
      <c r="A9" s="206">
        <v>7</v>
      </c>
      <c r="B9" s="208" t="s">
        <v>48</v>
      </c>
      <c r="C9" s="207">
        <v>3214313324</v>
      </c>
      <c r="D9" s="211">
        <v>294327057</v>
      </c>
    </row>
    <row r="10" spans="1:4" ht="15">
      <c r="A10" s="206">
        <v>8</v>
      </c>
      <c r="B10" s="210" t="s">
        <v>188</v>
      </c>
      <c r="C10" s="211">
        <v>775000000</v>
      </c>
      <c r="D10" s="211">
        <v>1222400</v>
      </c>
    </row>
    <row r="11" spans="1:4" ht="15">
      <c r="A11" s="206">
        <v>9</v>
      </c>
      <c r="B11" s="208" t="s">
        <v>121</v>
      </c>
      <c r="C11" s="211">
        <v>4045571616</v>
      </c>
      <c r="D11" s="211">
        <v>114153074</v>
      </c>
    </row>
    <row r="12" spans="1:4" ht="15">
      <c r="A12" s="206">
        <v>10</v>
      </c>
      <c r="B12" s="208" t="s">
        <v>212</v>
      </c>
      <c r="C12" s="211">
        <v>3456626461</v>
      </c>
      <c r="D12" s="211">
        <v>6593102</v>
      </c>
    </row>
    <row r="13" spans="1:4" ht="15">
      <c r="A13" s="206">
        <v>11</v>
      </c>
      <c r="B13" s="208" t="s">
        <v>213</v>
      </c>
      <c r="C13" s="211">
        <v>3411481000</v>
      </c>
      <c r="D13" s="211">
        <v>26875880</v>
      </c>
    </row>
    <row r="14" spans="1:4" ht="15">
      <c r="A14" s="206">
        <v>12</v>
      </c>
      <c r="B14" s="208" t="s">
        <v>49</v>
      </c>
      <c r="C14" s="211">
        <v>4466642000</v>
      </c>
      <c r="D14" s="211">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User</cp:lastModifiedBy>
  <cp:lastPrinted>2019-12-06T00:39:31Z</cp:lastPrinted>
  <dcterms:created xsi:type="dcterms:W3CDTF">2017-11-20T03:08:12Z</dcterms:created>
  <dcterms:modified xsi:type="dcterms:W3CDTF">2019-12-09T09:59:52Z</dcterms:modified>
  <cp:category/>
  <cp:version/>
  <cp:contentType/>
  <cp:contentStatus/>
</cp:coreProperties>
</file>