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225" firstSheet="1" activeTab="3"/>
  </bookViews>
  <sheets>
    <sheet name="BIỂU TỜ TRÌNH" sheetId="1" state="hidden" r:id="rId1"/>
    <sheet name="Biểu số 01" sheetId="2" r:id="rId2"/>
    <sheet name="Biểu số 02." sheetId="3" r:id="rId3"/>
    <sheet name="Biểu số 03" sheetId="4" r:id="rId4"/>
    <sheet name="Tổng hợp" sheetId="5" state="hidden" r:id="rId5"/>
  </sheets>
  <externalReferences>
    <externalReference r:id="rId8"/>
    <externalReference r:id="rId9"/>
  </externalReferences>
  <definedNames>
    <definedName name="_xlnm.Print_Area" localSheetId="1">'Biểu số 01'!$A$1:$AC$35</definedName>
    <definedName name="_xlnm.Print_Area" localSheetId="2">'Biểu số 02.'!$A$1:$AF$252</definedName>
    <definedName name="_xlnm.Print_Area" localSheetId="3">'Biểu số 03'!$A$1:$AP$19</definedName>
    <definedName name="_xlnm.Print_Area" localSheetId="0">'BIỂU TỜ TRÌNH'!$A$1:$T$34</definedName>
    <definedName name="_xlnm.Print_Area" localSheetId="4">'Tổng hợp'!$A$1:$Z$73</definedName>
    <definedName name="_xlnm.Print_Titles" localSheetId="1">'Biểu số 01'!$6:$10</definedName>
    <definedName name="_xlnm.Print_Titles" localSheetId="2">'Biểu số 02.'!$7:$10</definedName>
    <definedName name="_xlnm.Print_Titles" localSheetId="3">'Biểu số 03'!$6:$10</definedName>
    <definedName name="_xlnm.Print_Titles" localSheetId="4">'Tổng hợp'!$8:$11</definedName>
  </definedNames>
  <calcPr fullCalcOnLoad="1"/>
</workbook>
</file>

<file path=xl/sharedStrings.xml><?xml version="1.0" encoding="utf-8"?>
<sst xmlns="http://schemas.openxmlformats.org/spreadsheetml/2006/main" count="1972" uniqueCount="390">
  <si>
    <t>TT</t>
  </si>
  <si>
    <t>Nguồn vốn</t>
  </si>
  <si>
    <t>Phân bổ thực hiện</t>
  </si>
  <si>
    <t>Dự phòng</t>
  </si>
  <si>
    <t>Đơn vị tính: Triệu đồng</t>
  </si>
  <si>
    <t>I</t>
  </si>
  <si>
    <t>II</t>
  </si>
  <si>
    <t>Nguồn vốn/Danh mục dự án</t>
  </si>
  <si>
    <t>Chủ đầu tư</t>
  </si>
  <si>
    <t>Địa điểm xây dựng</t>
  </si>
  <si>
    <t>Thời gian  KC-HT</t>
  </si>
  <si>
    <t>Số QĐ, ngày tháng năm phê duyệt</t>
  </si>
  <si>
    <t>Tổng mức đầu tư</t>
  </si>
  <si>
    <t>Trong đó: NSĐP</t>
  </si>
  <si>
    <t>Lũy kế vốn đã bố trí đến hết kế hoạch năm 2015</t>
  </si>
  <si>
    <t>Trong đó (Tất cả các nguồn vốn)</t>
  </si>
  <si>
    <t>Tổng số (tất cả các nguồn vốn)</t>
  </si>
  <si>
    <t>Tổng số</t>
  </si>
  <si>
    <t>Trong đó: Thanh toán nợ XDCB)</t>
  </si>
  <si>
    <t>Ghi chú</t>
  </si>
  <si>
    <t>Biểu số: 02</t>
  </si>
  <si>
    <t>Ban Quản lý ĐT&amp;XD</t>
  </si>
  <si>
    <t>Huyện Ia H'Drai</t>
  </si>
  <si>
    <t>-</t>
  </si>
  <si>
    <t>Đường giao thông đô thị TTHC huyện (Khu công cộng - Dịch vụ). Hạng mục: các tuyến ĐĐT 04, ĐĐT 05, ĐĐT07</t>
  </si>
  <si>
    <t>Xã Ia Tơi</t>
  </si>
  <si>
    <t>2016 - 2017</t>
  </si>
  <si>
    <t>Hệ thống thoát nước, vỉa hè đường giao thông ĐĐT 04, ĐĐT 05, ĐĐT 07 nhằm giữ gìn vệ sinh, bảo vệ và tái tạo cảnh quan môi trường</t>
  </si>
  <si>
    <t>176a/QĐ-UBND ngày 30/03/2016</t>
  </si>
  <si>
    <t>Điểm trường tiểu học Tô Vĩnh Diện thôn 3, xã Ia Đal</t>
  </si>
  <si>
    <t>Điểm trường tiểu học Tô Vĩnh Diện thôn 2, xã Ia Đal</t>
  </si>
  <si>
    <t>Xã Ia Đal</t>
  </si>
  <si>
    <t xml:space="preserve">Trường tiểu học Tô Vĩnh Diện. Hạng mục: Nhà hiệu bộ và các công trình phụ trợ </t>
  </si>
  <si>
    <t>Từ 2017</t>
  </si>
  <si>
    <t>1001b/QĐ-UBND ngày 31/10/2016</t>
  </si>
  <si>
    <t>181/QĐ-UBND ngày 30/03/2016</t>
  </si>
  <si>
    <t>988/QĐ-UBND ngày 28/10/2016</t>
  </si>
  <si>
    <t>2018-</t>
  </si>
  <si>
    <t>2019-</t>
  </si>
  <si>
    <t>Trường MN Măng Non xã Ia Đal</t>
  </si>
  <si>
    <t>Trường Mầm Non Tuổi Ngọc xã Ia Dom</t>
  </si>
  <si>
    <t>Trường Mầm Non Măng Non xã Ia Đal</t>
  </si>
  <si>
    <t>Trường Mầm Non Hoa Mai xã Ia Tơi</t>
  </si>
  <si>
    <t>Xã Ia Dom</t>
  </si>
  <si>
    <t>2017-</t>
  </si>
  <si>
    <t>202/QĐ-UBND ngày 05/04/2016</t>
  </si>
  <si>
    <t>316/QĐ-UBND ngày 31/03/2016</t>
  </si>
  <si>
    <t xml:space="preserve">Trả nợ Trường Mầm non Tuổi Ngọc xã Ia Dom. HM: Nhà hiệu bộ và các công trình phụ trợ </t>
  </si>
  <si>
    <t xml:space="preserve">Trả nợ Trường Mầm non Măng Non xã Ia Đal. HM: Nhà hiệu bộ và các công trình phụ trợ </t>
  </si>
  <si>
    <t xml:space="preserve">Trả nợ Trường Mầm non Hoa Mai xã Ia Tơi. HM: Nhà hiệu bộ và các công trình phụ trợ </t>
  </si>
  <si>
    <t>Thực hiện chi nhiệm vụ đo đạc, cấp giấy chứng nhận quản lý đất đai</t>
  </si>
  <si>
    <t>Phòng Kinh tế &amp; Hạ tầng</t>
  </si>
  <si>
    <t>Đường Quy hoạch TTHC xã Ia Dom</t>
  </si>
  <si>
    <t>Đường Quy hoạch TTHC xã Ia Tơi</t>
  </si>
  <si>
    <t>Đường Quy hoạch TTHC xã Ia Đal</t>
  </si>
  <si>
    <t>Nhà văn hóa xã Ia Đal</t>
  </si>
  <si>
    <t>Nhà văn hóa xã Ia Dom</t>
  </si>
  <si>
    <t>Nhà văn hóa xã Ia Tơi</t>
  </si>
  <si>
    <t>323/QĐ-UBND ngày 31/03/2016</t>
  </si>
  <si>
    <t>324/QĐ-UBND ngày 31/03/2016</t>
  </si>
  <si>
    <t>325/QĐ-UBND ngày 31/03/2016</t>
  </si>
  <si>
    <t>201/QĐ-UBND ngày 05/04/2016</t>
  </si>
  <si>
    <t>203/QĐ-UBND ngày 05/04/2016</t>
  </si>
  <si>
    <t>204/QĐ-UBND ngày 05/04/2016</t>
  </si>
  <si>
    <t>Trường THCS Trần Quốc Tuấn xã Ia Tơi, hạng mục: Nhà hiệu bộ và các công trình phụ trợ</t>
  </si>
  <si>
    <t>Trường Tiểu học Tô Vĩnh Diện xã Ia Đal, hạng mục: Nhà học 8 phòng và các công trình phụ trợ</t>
  </si>
  <si>
    <t>Trường tiểu học Tô Vĩnh Diện. Hạng mục: Nhà hiệu bộ và các công trình phụ trợ.</t>
  </si>
  <si>
    <t>209/QĐ-UBND ngày 05/04/2016</t>
  </si>
  <si>
    <t>207/QĐ-UBND ngày 05/04/2016</t>
  </si>
  <si>
    <t>Trường MN Tuổi Ngọc xã Ia Dom</t>
  </si>
  <si>
    <t xml:space="preserve">Điểm trường mầm non kết hợp tiểu học trung tâm hành chính </t>
  </si>
  <si>
    <t>Trường Tiểu học Tô Vĩnh Diện xã Ia Đal, hạng mục: Nhà học 8 phòng và các công trình phụ trợ.</t>
  </si>
  <si>
    <t>315/QĐ-UBND ngày 31/03/2016</t>
  </si>
  <si>
    <t>Dự án Khu dân cư khu vực ngã ba Quốc lộ 14C-Sê San (Khu vực Nam Sa Thầy</t>
  </si>
  <si>
    <t>533/QĐ-UBND ngày 19/05/2016</t>
  </si>
  <si>
    <t>983/QĐ-UBND ngày 30/09/2014</t>
  </si>
  <si>
    <t>A</t>
  </si>
  <si>
    <t>a</t>
  </si>
  <si>
    <t>Phân cấp cân đối theo tiêu chí quy định tại NQ 24/2015/NQ-HĐND</t>
  </si>
  <si>
    <t>b</t>
  </si>
  <si>
    <t>Phân cấp đầu tư các xã biên giới</t>
  </si>
  <si>
    <t>Phân cấp đầu tư thực hiện Quyết định 755/QĐ-TTg</t>
  </si>
  <si>
    <t>Phân cấp hỗ trợ, bổ sung khác</t>
  </si>
  <si>
    <t>Các dự án chuyển tiếp từ giai đoạn 2011-2015 sang giai đoạn 2016-2020</t>
  </si>
  <si>
    <t>Các dự án dự kiến hoàn thành trong giai đoạn 2016-2020</t>
  </si>
  <si>
    <t>Các dự án hoàn thành sau năm 2020</t>
  </si>
  <si>
    <t>Các dự án khởi công mới trong giai đoạn 2016-2020</t>
  </si>
  <si>
    <t>Chuẩn bị đầu tư</t>
  </si>
  <si>
    <t>Thực hiện dự  án</t>
  </si>
  <si>
    <t>b.1</t>
  </si>
  <si>
    <t>1.1</t>
  </si>
  <si>
    <t>1.2</t>
  </si>
  <si>
    <t>a.1</t>
  </si>
  <si>
    <t>a.2</t>
  </si>
  <si>
    <t>Đường giao thông ĐĐT12</t>
  </si>
  <si>
    <t>Quảng trường và đường nội bộ trung tâm huyện</t>
  </si>
  <si>
    <t>182/QĐ-UBND ngày 30/03/2016</t>
  </si>
  <si>
    <t>b.2</t>
  </si>
  <si>
    <t>2.1</t>
  </si>
  <si>
    <t>2.2</t>
  </si>
  <si>
    <t>2016-2017</t>
  </si>
  <si>
    <t>Các dự án dự kiến hoàn thành sau năm 2020</t>
  </si>
  <si>
    <t>4.1</t>
  </si>
  <si>
    <t>4.2</t>
  </si>
  <si>
    <t>5.1</t>
  </si>
  <si>
    <t>5.2</t>
  </si>
  <si>
    <t>Nguồn cân đối NSĐP theo tiêu chí quy định tại QĐ 40/2015/QĐ-TTg</t>
  </si>
  <si>
    <t>Nguồn thu tiền sử dụng đất</t>
  </si>
  <si>
    <t>III</t>
  </si>
  <si>
    <t>Nguồn thu xổ số kiến thiết (Phân cấp đầu tư giáo dục)</t>
  </si>
  <si>
    <t>PHÂN BỔ THỰC HIỆN</t>
  </si>
  <si>
    <t>B</t>
  </si>
  <si>
    <t>DỰ PHÒNG CHƯA PHÂN BỔ</t>
  </si>
  <si>
    <t>TỔNG CỘNG (A+B)</t>
  </si>
  <si>
    <t>TỔNG SỐ</t>
  </si>
  <si>
    <t>PHÂN BỔ CHI TIẾT THỰC HIỆN DỰ ÁN</t>
  </si>
  <si>
    <t>Nguồn thu tiền sử dụng đất từ các dự án khai thác quỹ đất</t>
  </si>
  <si>
    <t>Dự án khai thác quỹ đất để phát triển kết cấu hạ tầng Khu trung tâm hành chính huyện Ia H'Drai, tỉnh Kon Tum</t>
  </si>
  <si>
    <t>2016-2020</t>
  </si>
  <si>
    <t>Từ 2014</t>
  </si>
  <si>
    <t>*</t>
  </si>
  <si>
    <t>Chi từ nguồn thu để lại chưa đưa vào cân đối ngân sách địa phương</t>
  </si>
  <si>
    <t>Sau khi điều chỉnh</t>
  </si>
  <si>
    <t>Kế hoạch trung hạn giai đoạn 2016 – 2020 huyện giao</t>
  </si>
  <si>
    <t>Trong đó</t>
  </si>
  <si>
    <t>Vốn đã bố trí kế hoạch năm 2015</t>
  </si>
  <si>
    <t>Giai đoạn 2016 - 2020</t>
  </si>
  <si>
    <t>14=9-6</t>
  </si>
  <si>
    <t>TỔNG CỘNG</t>
  </si>
  <si>
    <t>Vốn phân cấp đầu tư trong cân đối NSĐP</t>
  </si>
  <si>
    <t>Vốn đầu tư cân đối NSĐP theo tiêu chí</t>
  </si>
  <si>
    <t>Phân cấp cân đối theo tiêu chí quy định tại Nghị Quyết số 24/2015/NQ-HĐND</t>
  </si>
  <si>
    <t>Phân cấp thực hiện Quyết định số 755/QĐ-TTg</t>
  </si>
  <si>
    <t>Phân cấp đầu tư các công trình giáo dục (lồng ghép thực hiện Chương trình MTQG xây dựng nông thôn mới)</t>
  </si>
  <si>
    <t>Nguồn thu tiền sử dụng đất trong cân đối cho ngân sách huyện</t>
  </si>
  <si>
    <t>Nguồn thu tiền sử dụng đất từ các dự án khai thác quỹ đất tạo vốn đầu tư cơ sở hạ tầng</t>
  </si>
  <si>
    <t>Đường giao thông ĐĐT 19</t>
  </si>
  <si>
    <t>Đường giao thông ĐĐT 38</t>
  </si>
  <si>
    <t>Trường Tiểu học Lê Quý Đôn; Hạng mục Nhà hiệu bộ và hạng mục phụ trợ</t>
  </si>
  <si>
    <t>Trường Tiểu học Lê Quý Đôn; Hạng mục: 06 phòng học và các công trình phụ trợ</t>
  </si>
  <si>
    <t>2020-</t>
  </si>
  <si>
    <t>Đường điểm dân cư trung tâm xã Ia Đal</t>
  </si>
  <si>
    <t>Đường giao thông số 2 thôn 1, xã Ia Tơi</t>
  </si>
  <si>
    <t>TỔNG HỢP ĐỀU CHỈNH CÁC NGUỒN VỐN ĐẦU TƯ CÔNG TRUNG HẠN GIAI ĐOẠN 2016 – 2020 HUYỆN IA H'DRAI</t>
  </si>
  <si>
    <t>(Kèm theo Tờ trình số 85a/TTr-UBND ngày 21/08/2017 của UBND huyện Ia H'Drai)</t>
  </si>
  <si>
    <t>(Kèm theo Tờ trình số 50a/TTr-UBND ngày 21/08/2017 của phòng Tài chính - Kế hoạch)</t>
  </si>
  <si>
    <t>(Kèm theo Công văn số  19/HĐND-TH ngày  21/08/2017 của Thường trực HĐND huyện Ia H'Drai)</t>
  </si>
  <si>
    <t>Dự án kiên cố hóa trường lớp học mầm non, tiểu học trên địa bàn huyện Ia H'Drai, tỉnh Kon Tum</t>
  </si>
  <si>
    <t>ĐIỀU CHỈNH, BỔ SUNG KẾ HOẠCH ĐẦU TƯ CÔNG TRUNG HẠN GIAI ĐOẠN 216 - 2020 - NGUỒN PHÂN CẤP NGÂN SÁCH HUYỆN</t>
  </si>
  <si>
    <t>(Kèm theo Quyết định số           /QĐ-UBND ngày           /         /2018 của Ủy ban nhân dân huyện Ia H'Drai)</t>
  </si>
  <si>
    <t>Trong đó: Thanh toán nợ XDCB</t>
  </si>
  <si>
    <t>Quyết định đầu tư được cấp thẩm quyền phê duyệt</t>
  </si>
  <si>
    <t>Tăng (+)</t>
  </si>
  <si>
    <t>Giảm (-)</t>
  </si>
  <si>
    <t>860/QĐ-UBND ngày 17/10/2017</t>
  </si>
  <si>
    <t>Quyết định điều chỉnh dự toán</t>
  </si>
  <si>
    <t>09/QĐ-UBND ngày 11/01/2018</t>
  </si>
  <si>
    <t>73/QĐ-UBND ngày 22/02/2016</t>
  </si>
  <si>
    <t>872/QĐ-UBND ngày 25/10/2017</t>
  </si>
  <si>
    <t>274/QĐ-UBND ngày 29/03/2018</t>
  </si>
  <si>
    <t>Điều chỉnh giảm số tiền 779,692 triệu đồng để bố trí Dự án kiên cố hóa trường lớp học mầm non (Đối ứng vốn TPCP)</t>
  </si>
  <si>
    <t>2016-</t>
  </si>
  <si>
    <t>Công trình sử dụng 02 nguồn vốn: Nguồn thu phí bảo vệ môi trường: 2.200 triệu đồng và Nguồn phân cấp theo Nghị Quyết số 24/2015/NQ-HĐND tỉnh: 1.432 triệu đồng</t>
  </si>
  <si>
    <t>494/QĐ-UBND ngày 20/07/2016</t>
  </si>
  <si>
    <t>Đường giao thông đô thị trung tâm huyện (ĐĐT13)</t>
  </si>
  <si>
    <t>84/QĐ-UBND ngày 15/03/2017</t>
  </si>
  <si>
    <t>416/QĐ-UBND ngày 24/04/2017</t>
  </si>
  <si>
    <t>Dự kiến TMĐT</t>
  </si>
  <si>
    <t>876/QĐ-UBND ngày 30/10/2017</t>
  </si>
  <si>
    <t>69/QĐ-UBND ngày 31/01/2018</t>
  </si>
  <si>
    <t>868/QĐ-UBND ngày 23/10/2017</t>
  </si>
  <si>
    <t>61/QĐ-UBND ngày 26/01/2018</t>
  </si>
  <si>
    <t>682/QĐ-UBND ngày 18/07/2017</t>
  </si>
  <si>
    <t>294/QĐ-UBND ngày 06/04/2018</t>
  </si>
  <si>
    <t>Chênh lệch so với kế hoạch ban đầu</t>
  </si>
  <si>
    <t>94/QĐ-UBND ngày 07/02/2018</t>
  </si>
  <si>
    <t>551/QĐ-UBND ngày 26/06/2017</t>
  </si>
  <si>
    <t>1029/QĐ-UBND ngày 29/10/2015</t>
  </si>
  <si>
    <t>1030/QĐ-UBND ngày 29/10/2015</t>
  </si>
  <si>
    <t>1028/QĐ-UBND ngày 29/10/2015</t>
  </si>
  <si>
    <t>Điều chỉnh, bổ sung kế hoạch trung hạn 5 năm GĐ 2016 - 2020</t>
  </si>
  <si>
    <r>
      <t xml:space="preserve">Phân cấp đầu tư các công trình giáo dục </t>
    </r>
    <r>
      <rPr>
        <b/>
        <i/>
        <sz val="13"/>
        <color indexed="18"/>
        <rFont val="Narrow"/>
        <family val="0"/>
      </rPr>
      <t>(lồng ghép thực hiện CT MTQG xây dựng NTM)</t>
    </r>
  </si>
  <si>
    <t>1035/QĐ-UBND ngày 29/10/2015</t>
  </si>
  <si>
    <t>1037/QĐ-UBND ngày 29/10/2015</t>
  </si>
  <si>
    <t>791/QĐ-UBND ngày 27/09/2017</t>
  </si>
  <si>
    <t>42/QĐ-UBND ngày 22/01/2018</t>
  </si>
  <si>
    <t>Giảm do phê duyệt báo cáo kinh tế kỹ thuật giảm so với TMĐT dư kiến</t>
  </si>
  <si>
    <t>414/QĐ-UBND ngày 24/04/2017</t>
  </si>
  <si>
    <t>415/QĐ-UBND ngày 26/04/2017</t>
  </si>
  <si>
    <t>Lưới điện Nông thôn từ trung tâm huyện đi vào thôn 1 xã Ia Tơi. Hạng mục: Đường dây 35kv, đường dây hạ ấp 0,4kv và Trạm biến áp</t>
  </si>
  <si>
    <t>Đường giao thông nông thôn đi thôn 1 xã Ia Tơi. Hạng mục: Mặt đường và công trình phụ trợ</t>
  </si>
  <si>
    <t>93/QĐ-UBND xã Ia Tơi ngày 16/10/2017</t>
  </si>
  <si>
    <t>92/QĐ-UBND ngày xã Ia Tơi 16/10/2017</t>
  </si>
  <si>
    <t>1033/QĐ-UBND ngày 29/10/2015</t>
  </si>
  <si>
    <r>
      <t xml:space="preserve">Cầu Drai </t>
    </r>
    <r>
      <rPr>
        <i/>
        <sz val="13"/>
        <color indexed="18"/>
        <rFont val="Narrow"/>
        <family val="0"/>
      </rPr>
      <t>(Thuộc Đường giao thông nối Trung tâm hành chính huyện với đường tuần tra biên giới tại Khu vực Hồ Le)</t>
    </r>
  </si>
  <si>
    <t>902/QĐ-UBND ngày 30/10/2017</t>
  </si>
  <si>
    <r>
      <t xml:space="preserve">Kế hoạch trung hạn 5 năm GĐ 2016 - 2020 </t>
    </r>
    <r>
      <rPr>
        <b/>
        <i/>
        <sz val="13"/>
        <color indexed="18"/>
        <rFont val="Narrow"/>
        <family val="0"/>
      </rPr>
      <t>(Theo Quyết định số 718/QĐ-UBND ngày 21/08/2017)</t>
    </r>
  </si>
  <si>
    <r>
      <t xml:space="preserve">Dự án khai thác quỹ đất để phát triển kết cấu hạ tầng, bố trí dân cư dọc hai bên Quốc lộ 14C </t>
    </r>
    <r>
      <rPr>
        <i/>
        <sz val="13"/>
        <color indexed="18"/>
        <rFont val="Narrow"/>
        <family val="0"/>
      </rPr>
      <t>(đoạn từ Trung tâm hành chính huyện đến ngã ba Quốc lộ 14C - Sê San 3)</t>
    </r>
  </si>
  <si>
    <t>3538/UBND ngày 29/12/2017</t>
  </si>
  <si>
    <t>ĐIỀU CHỈNH, BỔ SUNG KẾ HOẠCH ĐẦU TƯ CÔNG TRUNG HẠN GIAI ĐOẠN 2016 - 2020 - NGUỒN THU ĐỂ LẠI CHƯA ĐƯA VÀO CÂN ĐỐI NGÂN SÁCH NHÀ NƯỚC</t>
  </si>
  <si>
    <t>IV</t>
  </si>
  <si>
    <t>Nguồn thu tiền quyền sử dụng rừng</t>
  </si>
  <si>
    <t>Hồ chứa nước số 1 Trung tâm hành chính huyện Ia H'Drai</t>
  </si>
  <si>
    <t>201/QĐ-UBND ngày 10/04/2017</t>
  </si>
  <si>
    <t>Năm 2016</t>
  </si>
  <si>
    <t>Năm 2017</t>
  </si>
  <si>
    <t>Năm 2018</t>
  </si>
  <si>
    <t>Năm 2019</t>
  </si>
  <si>
    <t>Năm 2020</t>
  </si>
  <si>
    <t>Dự án đã hoàn thành</t>
  </si>
  <si>
    <t>Tổng hợp</t>
  </si>
  <si>
    <t>Sử dụng nguồn dự phòng 799 triệu</t>
  </si>
  <si>
    <t>- Công trình sử dụng 02 nguồn vốn: Nguồn thu phí bảo vệ môi trường: 2.200 triệu đồng và Nguồn phân cấp theo Nghị Quyết số 24/2015/NQ-HĐND tỉnh: 1.432 triệu đồng
- Điều chỉnh giảm số tiền 591 triệu đồng để bố trí Dự án kiên cố hóa trường lớp học mầm non (Đối ứng vốn TPCP)</t>
  </si>
  <si>
    <t>Điều chỉnh tăng số tiền 1.370.610 triệu đồng để đối ứng vốn TPCP</t>
  </si>
  <si>
    <t>Điều chỉnh tăng số tiền 1.370.610 triệu đồng để đối ứng vốn TPCP từ công trình Đường giao thông đô thị TTHC huyện (Khu công cộng - Dịch vụ). Hạng mục: Các tuyến Đ ĐT04, ĐĐT05, ĐĐT07 và công trình: Hệ thống thoát nước, vỉa hè đường giao thông ĐĐT04, ĐĐT05, ĐĐT07 nhằm giữ gìn vệ sinh, bảo vệ và tái tạo cảnh quan môi trường.</t>
  </si>
  <si>
    <t>Phân bổ sử dụng 799 triệu đồng đầu tư trường TH Lê Quý Đôn. Hạng mục: 06 phòng học và các công trình phụ trợ. Sau khi phân bổ, còn lại 2.375 triệu đồng</t>
  </si>
  <si>
    <t>Cấp nước sinh hoạt xã Ia Dom; HM: Đập đất, tràn xả lũ và hệ thống cấp nước</t>
  </si>
  <si>
    <t>484/QĐ-UBND ngày 15/07/2016</t>
  </si>
  <si>
    <t>KẾ HOẠCH VỐN PHÂN CẤP ĐẦU TƯ NĂM 2018</t>
  </si>
  <si>
    <t>KẾ HOẠCH VỐN ĐẦU TƯ NGUỒN THU ĐỂ LẠI CHƯA ĐƯA VÀO CÂN ĐỐI NGÂN SÁCH NHÀ NƯƠC</t>
  </si>
  <si>
    <t>Kè chống sạt lở (Khu trung tâm hành chính huyện) phía sau Huyện ủy</t>
  </si>
  <si>
    <t>V</t>
  </si>
  <si>
    <t>lấy tiền sử dụng đất bù vô</t>
  </si>
  <si>
    <t xml:space="preserve">chuyển từ 2 công trình trên để thực hiện </t>
  </si>
  <si>
    <t>điều chuyển số tiền còn dư của 
đường lưới điện thôn 1</t>
  </si>
  <si>
    <t>2018-2020</t>
  </si>
  <si>
    <t>Dự án chợ trung tâm huyện</t>
  </si>
  <si>
    <t>Nguồn thu tiền sử dụng rừng</t>
  </si>
  <si>
    <t>670/QĐ-UBND ngày 27/9/2018</t>
  </si>
  <si>
    <t xml:space="preserve">
Điều chỉnh tăng số tiền 1.370,610 triệu đồng để đối ứng vốn TPCP</t>
  </si>
  <si>
    <t>VII</t>
  </si>
  <si>
    <t>Nguồn hợp pháp khác</t>
  </si>
  <si>
    <t>Nguồn dự phòng ngân sách huyện, nguồn kết dư ngân sách  huyện và tăng thu ngân sách huyện</t>
  </si>
  <si>
    <t>Đường giao thông thôn Chư Hem, xã Ia Đal</t>
  </si>
  <si>
    <t>(Kèm theo Tờ trình số 20a/TTr-PTCKH ngày 17/10/2018 của Phòng Tài chính - Kế hoạch huyện)</t>
  </si>
  <si>
    <t>Đầu tư kết cấu hạ tầng điểm dân cư số 20, xã Ia Đal</t>
  </si>
  <si>
    <t xml:space="preserve">Các khoản bổ sung khác </t>
  </si>
  <si>
    <t>683/QĐ-UBND huyện ngày 18/10/2018</t>
  </si>
  <si>
    <t>71/QĐ-UBND ngày 07/03/2019</t>
  </si>
  <si>
    <t>711/QĐ-UBND ngày 30/10/2018</t>
  </si>
  <si>
    <t>74/QĐ-UBND ngày 11/03/2019</t>
  </si>
  <si>
    <t>690/QĐ-UBND ngày 19/10/2018</t>
  </si>
  <si>
    <t>73/QĐ-UBND ngày 11/03/2019</t>
  </si>
  <si>
    <t>Lưới điện Nông thôn từ trung tâm huyện đi vào thôn 1 xã Ia Tơi. Hạng mục: Đường dây 35Kv, đường dây hạ áp 0,4Kv và Trạm biến áp</t>
  </si>
  <si>
    <t>92/QĐ-UBND xã Ia Tơi ngày 16/10/2017</t>
  </si>
  <si>
    <t>39/QĐ-UBND xã Ia Tơi ngày 29/10/2018</t>
  </si>
  <si>
    <r>
      <t xml:space="preserve">Kế hoạch trung hạn giai đoạn 2016 – 2020 tỉnh giao
</t>
    </r>
    <r>
      <rPr>
        <b/>
        <i/>
        <sz val="13"/>
        <rFont val="Times New Roman"/>
        <family val="1"/>
      </rPr>
      <t>(Theo Quyết định số 1506QĐ-UBND ngày 09/12/2018)</t>
    </r>
  </si>
  <si>
    <r>
      <t xml:space="preserve">Kế hoạch trung hạn giai đoạn 2016 – 2020 tỉnh giao
</t>
    </r>
    <r>
      <rPr>
        <b/>
        <i/>
        <sz val="13"/>
        <rFont val="Times New Roman"/>
        <family val="1"/>
      </rPr>
      <t>(Theo Quyết định số 1373QĐ-UBND ngày 10/12/2018)</t>
    </r>
  </si>
  <si>
    <r>
      <t xml:space="preserve">Nguồn thu xổ số kiến thiết </t>
    </r>
    <r>
      <rPr>
        <i/>
        <sz val="13"/>
        <rFont val="Times New Roman"/>
        <family val="1"/>
      </rPr>
      <t>(Phân cấp đầu tư các công trình giáo dục (lồng ghép thực hiện Chương trình MTQG xây dựng nông thôn mới)</t>
    </r>
  </si>
  <si>
    <t>Các khoản bổ sung khác</t>
  </si>
  <si>
    <t>6.1</t>
  </si>
  <si>
    <t>6.2</t>
  </si>
  <si>
    <t>02/QĐ-UBND ngày 08/01/2019</t>
  </si>
  <si>
    <t>Hỗ trợ người có công với cách mạng về nhà ở theo Quyết định số 22/2013/QĐ-TTg</t>
  </si>
  <si>
    <t>Đầu tư kết cấu hạ tầng quy hoạch phía Bắc trung tâm hành chính huyện</t>
  </si>
  <si>
    <t>TMĐT dự kiến</t>
  </si>
  <si>
    <t>Kinh phí Quy hoạch</t>
  </si>
  <si>
    <t>Điều chỉnh quy hoạch sử dụng đất 2016-2020, lập kế hoạch sử dụng đất năm 2019,2020 và các nhiệm vụ quản lý đất đai theo phân cấp</t>
  </si>
  <si>
    <t>528a/QĐ-UBND huyện ngày 31/5/2018</t>
  </si>
  <si>
    <t>865/QĐ-UBND huyện ngày 21/12/2018</t>
  </si>
  <si>
    <t>Nguồn thu tiền sử dụng đất trong cân đối ngân sách</t>
  </si>
  <si>
    <t>VI</t>
  </si>
  <si>
    <t>Nguồn dự phòng ngân sách tỉnh năm 2018 còn tồn chuyển nguồn sang năm 2019</t>
  </si>
  <si>
    <t>Bổ sung mới</t>
  </si>
  <si>
    <t xml:space="preserve">Giếng khoan Trụ sở HĐND-UBND huyện
</t>
  </si>
  <si>
    <r>
      <t xml:space="preserve">Kế hoạch trung hạn 5 năm GĐ 2016 - 2020 </t>
    </r>
    <r>
      <rPr>
        <b/>
        <i/>
        <sz val="13"/>
        <rFont val="Narrow"/>
        <family val="0"/>
      </rPr>
      <t>(Theo Quyết định số 718/QĐ-UBND ngày 21/08/2017)</t>
    </r>
  </si>
  <si>
    <r>
      <t xml:space="preserve">Dự án khai thác quỹ đất để phát triển kết cấu hạ tầng, bố trí dân cư dọc hai bên Quốc lộ 14C </t>
    </r>
    <r>
      <rPr>
        <i/>
        <sz val="13"/>
        <rFont val="Narrow"/>
        <family val="0"/>
      </rPr>
      <t>(đoạn từ Trung tâm hành chính huyện đến ngã ba Quốc lộ 14C - Sê San 3)</t>
    </r>
  </si>
  <si>
    <t>(Kèm theo Nghị quyết số      /NQ-HĐND ngày       /      /2019 của Hội đồng nhan dân huyện Ia H'Drai)</t>
  </si>
  <si>
    <t>Đvt: Triệu đồng</t>
  </si>
  <si>
    <t>Theo Nghị quyết số 03/2017/NQ-HĐND ngày 07/7/2017 của HĐND huyện</t>
  </si>
  <si>
    <t>Tăng (+)/ Giảm (-)</t>
  </si>
  <si>
    <t>Trường mâm non Hoa Mai (điểm trường thôn 1)</t>
  </si>
  <si>
    <t>Trường mâm non Măng Non (điểm trường thôn 4)</t>
  </si>
  <si>
    <t>Trường mâm non Tuổi Ngọc (điểm trường thôn 1)</t>
  </si>
  <si>
    <t>Trường mâm non Măng Non (điểm trường thôn 7)</t>
  </si>
  <si>
    <t>Trường mâm non Măng Non (điểm trường thôn 8)</t>
  </si>
  <si>
    <t>Trường Tiểu học Lê Quý Đôn (điểm trường thôn 1)</t>
  </si>
  <si>
    <t>Trường Tiểu học Nguyễn Du (điểm trường thôn 2)</t>
  </si>
  <si>
    <t>Trường Tiểu học Tô Vĩnh Diện (điểm trường thôn 7)</t>
  </si>
  <si>
    <t>Trường Tiểu học Tô Vĩnh Diện (điểm trường thôn 8)</t>
  </si>
  <si>
    <t>Trường Tiểu học Tô Vĩnh Diện số 2</t>
  </si>
  <si>
    <t>Bỏ ra khỏi danh mục đầu tư 
công giai đoạn 2016-2020</t>
  </si>
  <si>
    <t>Kế hoạch trung hạn 5 năm GĐ 2016 - 2020</t>
  </si>
  <si>
    <t>Dự án Khu dân cư khu vực ngã ba Quốc lộ 14C-Sê San (Khu vực Nam Sa Thầy)</t>
  </si>
  <si>
    <t>Chương trình mục tiêu quốc gia xây dựng nông thôn mới</t>
  </si>
  <si>
    <t>Chương trình mục tiêu quốc giảm nghèo bền vững</t>
  </si>
  <si>
    <t>Chương trình 135</t>
  </si>
  <si>
    <t>Chương trình 30a</t>
  </si>
  <si>
    <t>Phụ lục số: 01/ĐTCTH</t>
  </si>
  <si>
    <t>Phụ lục số 02/ĐTCTH</t>
  </si>
  <si>
    <t>Phụ lục số: 03/ĐTCTH</t>
  </si>
  <si>
    <t>Hỗ trợ có mục tiêu cho ngân sách huyện Ia H'Drai để đầu tư 03 công trình trụ sở HĐND-UBND 03 xã Ia Đal, Ia Dom và Ia Tơi</t>
  </si>
  <si>
    <t>+</t>
  </si>
  <si>
    <t>Đường giao thông nông thôn đi thôn 1 xã Ia Tơi</t>
  </si>
  <si>
    <t>Thanh toán phí tư vấn xác định giá đất cụ thể và giá khởi điểm để đấu giá quyền sử dụng đất xã Ia Dom</t>
  </si>
  <si>
    <t>Cầu và đường qua đập Ia Dom</t>
  </si>
  <si>
    <t>Đường giao thông nông thôn nội bộ thôn 1 xã Ia Dom - NT2</t>
  </si>
  <si>
    <t>Đường giao thông nông thôn NT2-2, thôn 2, Ia Dom</t>
  </si>
  <si>
    <t>Quy hoạch điểm dân cư số 20</t>
  </si>
  <si>
    <t>Quy hoạch điểm dân cư số 34</t>
  </si>
  <si>
    <t>Đường giao thông nông thôn NT4-1</t>
  </si>
  <si>
    <t>Phần đã thu và chi của xã đến hết năm 2018</t>
  </si>
  <si>
    <t>Số tiền chưa sử dụng.</t>
  </si>
  <si>
    <t xml:space="preserve">Số tiền còn thừa </t>
  </si>
  <si>
    <t>Phần thu và chi của huyện dự kiến phân bổ</t>
  </si>
  <si>
    <t xml:space="preserve">Nguồn tăng thu ngân sách tỉnh năm 2017 hỗ trợ ngân sách huyện tăng cường nguồn lực xây dựng nông thôn mới </t>
  </si>
  <si>
    <t>Điểm trường mần non thôn 8 xã Ia Tơi</t>
  </si>
  <si>
    <t xml:space="preserve">Đường giao thông nông thôn NT4-1, xã Ia Đal </t>
  </si>
  <si>
    <t>Xã
 Ia Đal</t>
  </si>
  <si>
    <t>QĐ số 03a/QĐ-UBND ngày 23/1/2018 của UBND xã Ia Đal</t>
  </si>
  <si>
    <t>Hủy bỏ danh mục đầu tư 
công giai đoạn 2016-2020</t>
  </si>
  <si>
    <t>Bổ sung mới (Nguồn vốn còn thừa sau khi quyết toán)</t>
  </si>
  <si>
    <t>Lưới điện vào điểm dân cư làng cá thôn 7, xã Ia Tơi huyện Ia H’drai Hạng mục: Trạm biến áp 100KVA và Đường dây hạ áp 0,4KV (Giai đoạn 1)</t>
  </si>
  <si>
    <t>Đầu tư lưới điện từ trung tâm điểm dân cư 64 đi thôn Ia Đơr (Đường dây trung thế 22Kv và trạm biến áp), xã Ia Tơi</t>
  </si>
  <si>
    <t>Công trình cấp nước (giếng khoan và hạng mục phụ trợ) Trường tiểu học Tô Vĩnh Diện xã Ia Đal</t>
  </si>
  <si>
    <t>Mái che nhà công vụ khối Huyện ủy, khối Ủy ban nhân dân huyện và các hạng mục khác</t>
  </si>
  <si>
    <t>Điểm trường mầm non kết hợp tiểu học trung tâm hành chính</t>
  </si>
  <si>
    <t>Không thực hiện chuyển nguồn vốn cho công trình Kè chống sạt lở (Khu trung tâm hành chính huyện) phía sau Huyện ủy</t>
  </si>
  <si>
    <t xml:space="preserve"> Không thực hiện chuyển nguồn vốn cho công trình Đường giao thông thôn Chư Hem, xã Ia Đal</t>
  </si>
  <si>
    <t>Không thực hiện chuyển nguồn vốn cho công trình Đường giao thông thôn Chư Hem, xã Ia Đal</t>
  </si>
  <si>
    <t>Đường từ bến đò Làng Nú đi điểm dân cư số 64, Thôn Ia Đơr, xã Ia Tơi huyện Ia H’Drai</t>
  </si>
  <si>
    <t>Hồ chứa nước và các hạng mục phụ trợ khu dân cư phía Đông trung tâm xã Ia Tơi</t>
  </si>
  <si>
    <t>ĐIỀU CHỈNH, BỔ SUNG KẾ HOẠCH ĐẦU TƯ CÔNG TRUNG HẠN GIAI ĐOẠN 2106 - 2020 - NGUỒN PHÂN CẤP NGÂN SÁCH HUYỆN</t>
  </si>
  <si>
    <t>(Kèm theo Nghị quyết số      /2019/NQ-HĐND ngày       /      /2019 của Hội đồng nhân dân huyện Ia H'Drai)</t>
  </si>
  <si>
    <t>Kế hoạch trung hạn giai đoạn 2016 – 2020 theo Nghị Quyết số 02/2019/NQ-HĐND ngày 09/5/2019</t>
  </si>
  <si>
    <t>Điều chỉnh giảm tổng mức đầu tư từ 546 triệu đồng xuống 491 triệu đồng xuống 491 triệu đồng</t>
  </si>
  <si>
    <t>Khắc phục cống thoát nước và nền, mặt đường trên cống đường giao thông nông thôn, thôn 3 xã Ia Dom (Km17+728,73)</t>
  </si>
  <si>
    <t>Nguồn Ngân sách tỉnh hỗ trợ và các nguồn hợp pháp khác</t>
  </si>
  <si>
    <t>Khắc phục cống thoát nước và nền, mặt đường trên cống đường giao thông nông thôn thôn 3 xã Ia Dom (Km14+403,85)</t>
  </si>
  <si>
    <t>bổ sung mới</t>
  </si>
  <si>
    <t>VIII</t>
  </si>
  <si>
    <t xml:space="preserve">Chuyển từ Nguồn thu tiền sử dụng đất từ các dự án
 khai thác quỹ đất sang nguồn thu sử dụng đất trong cân đối </t>
  </si>
  <si>
    <t>Nguồn thu tiền sử dụng đất từ các dự án</t>
  </si>
  <si>
    <t>Phần vốn còn lại  5.000 triệu đồng bố trí trong kế hoạch đầu tư công trung hạn giai đoạn 2021-2025</t>
  </si>
  <si>
    <t>Phần vốn còn lại 4.440 triệu đồng bố trí trong kế hoạch đầu tư công trung hạn giai đoạn 2021-2025</t>
  </si>
  <si>
    <t>(Kèm theo Tờ trình số      /TTr-UBND ngày     /      /2019 của Ủy ban nhân dân huyện Ia H'Drai)</t>
  </si>
  <si>
    <t>(Kèm theo Tờ trình số      /TTr-UBND ngày     /       /2019 của Ủy ban nhân dân huyện Ia H'Drai)</t>
  </si>
  <si>
    <t>San lấp mặt bằng trước chợ trưng tâm huyện</t>
  </si>
  <si>
    <t xml:space="preserve">Đầu tư lưới điện hạ thế khu trung tâm hành chính huyện </t>
  </si>
  <si>
    <t xml:space="preserve">Không đâu tư, chuyển vốn qua Đầu tư lưới điện hạ thế khu trung tâm hành chính huyện </t>
  </si>
  <si>
    <t xml:space="preserve">Chuyển vốn còn thừa sang Đầu tư lưới điện hạ thế khu trung tâm hành chính huyện </t>
  </si>
  <si>
    <t xml:space="preserve">Còn thừa 209,133 triệu đồng Đầu tư lưới điện hạ thế khu trung tâm hành chính huyện </t>
  </si>
  <si>
    <t>Còn thừa 293,638 triệu đồng 
Đầu tư lưới điện hạ thế khu trung tâm hành chính huyện</t>
  </si>
  <si>
    <t xml:space="preserve">Chuyển vốn còn thừa của công trình: Trường Mầm Non Măng Non xã Ia Đal và công trình Trường Mầm Non Tuổi Ngọc xã Ia Dom sang Đầu tư lưới điện hạ thế khu trung tâm hành chính huyện </t>
  </si>
  <si>
    <t xml:space="preserve">Chuyển vốn còn thừa của công trình: Hồ chứa nước số 1 Trung tâm hành chính huyện Ia H'Drai sang Đầu tư lưới điện hạ thế khu trung tâm hành chính huyện </t>
  </si>
  <si>
    <t xml:space="preserve">Chuyển vốn còn thừa của công trình: Đường giao thông ĐĐT 19 sang công trình Mái che nhà công vụ khối Huyện ủy, khối Ủy ban nhân dân huyện và các hạng mục khác </t>
  </si>
  <si>
    <t xml:space="preserve">Lưới điện trung, hạ thế và trạm biến áp tại điểm dân cư số 34, xã Ia Đal
</t>
  </si>
  <si>
    <t>Xây dựng hàng rào bảo vệ cây xanh (Khu vực huyện ủy)</t>
  </si>
  <si>
    <t>Dự kiến vốn bố trí giai đoạn 2016-2020 là 20.000 đồng, số tiền cong lại bố trí giai đoạn 2021-2025</t>
  </si>
  <si>
    <t>Giải ngân tại tỉnh</t>
  </si>
  <si>
    <t>Đã thu đến hết năm 2018 là 76.267 triệu đồng, phần vốn còn lại chuyển qua nguồn thu sử dụng đất trong cân đối</t>
  </si>
  <si>
    <t>Còn thừa 65,995 triệu đồng 
Đầu tư lưới điện hạ thế khu trung tâm hành chính huyện</t>
  </si>
  <si>
    <t>Kế hoạch trung hạn giai đoạn 2016 – 2020 điều chỉnh</t>
  </si>
  <si>
    <t xml:space="preserve">Chuyển vốn còn thừa của công trình: Đường giao thông ĐĐT 19 sang Đầu tư lưới điện hạ thế khu trung tâm hành chính huyện và  </t>
  </si>
  <si>
    <t>494/QĐ-UBND huyện ngày 30/10/2019</t>
  </si>
  <si>
    <t>Điều chỉnh giảm tổng mức đầu tư từ 4.000 triệu đồng xuống 2.800 triệu đồng</t>
  </si>
  <si>
    <t xml:space="preserve">Điều chỉnh giảm kế hoạch đầu tư giai đoạn từ 3.200 triệu đồng xuống 3.030 triệu đồng </t>
  </si>
  <si>
    <t>Cấp nước tập trung tại thôn Ia Đơr, xã Ia Tơi</t>
  </si>
  <si>
    <t>Mở rộng Quốc lộ 14C (Đoạn từ ĐĐT25 đến cầu Suối Đá)</t>
  </si>
  <si>
    <t>Xây dựng điểm dân cư số 2, số 3 xã Ia Dom</t>
  </si>
  <si>
    <t xml:space="preserve">Dự án Mở rộng Quốc lộ 14C (đoạn từ N2-N5) </t>
  </si>
  <si>
    <t>Bổ sung mới, số vốn còn lại bố trí giai đoạn 2021-2025</t>
  </si>
  <si>
    <t>Phần vốn còn lại  5.659 triệu đồng bố trí trong kế hoạch đầu tư công trung hạn giai đoạn 2021-2025</t>
  </si>
  <si>
    <r>
      <t xml:space="preserve">Phân cấp đầu tư các công trình giáo dục </t>
    </r>
    <r>
      <rPr>
        <b/>
        <i/>
        <sz val="13"/>
        <color indexed="8"/>
        <rFont val="Narrow"/>
        <family val="0"/>
      </rPr>
      <t>(lồng ghép thực hiện CT MTQG xây dựng NTM)</t>
    </r>
  </si>
  <si>
    <r>
      <t xml:space="preserve">Cầu Drai </t>
    </r>
    <r>
      <rPr>
        <i/>
        <sz val="13"/>
        <color indexed="8"/>
        <rFont val="Narrow"/>
        <family val="0"/>
      </rPr>
      <t>(Thuộc Đường giao thông nối Trung tâm hành chính huyện với đường tuần tra biên giới tại Khu vực Hồ Le)</t>
    </r>
  </si>
  <si>
    <r>
      <t xml:space="preserve">Dự án khai thác quỹ đất để phát triển kết cấu hạ tầng, bố trí dân cư dọc hai bên Quốc lộ 14C </t>
    </r>
    <r>
      <rPr>
        <i/>
        <sz val="13"/>
        <color indexed="8"/>
        <rFont val="Narrow"/>
        <family val="0"/>
      </rPr>
      <t>(đoạn từ Trung tâm hành chính huyện đến ngã ba Quốc lộ 14C - Sê San 3)</t>
    </r>
  </si>
  <si>
    <t>Kế hoạch trung hạn giai đoạn 2016 – 2020 theo Nghị quyết số 03/2019/NQ-HĐND ngày 25/9/2019 của Hội đồng
nhân dân huyện</t>
  </si>
  <si>
    <t>Kế hoạch trung hạn giai đoạn 2016 – 2020 theo Nghị quyết số 03/2019/NQ-HĐND ngày 25/9/2019 của Hội đồng nhân dân huyện</t>
  </si>
  <si>
    <t>Cấp nước sinh hoạt điểm dân cư thôn 3, thôn 4 xã Ia Đal</t>
  </si>
  <si>
    <t xml:space="preserve">Còn thừa 49,958 triệu đồng 
Đầu tư lưới điện hạ thế khu trung tâm hành chính huyện </t>
  </si>
  <si>
    <t xml:space="preserve">Chuyển vốn còn thừa của công trình: Trường Mầm Non Tuổi Ngọc xã Ia Dom sang Đầu tư lưới điện hạ thế khu trung tâm hành chính huyện </t>
  </si>
  <si>
    <t xml:space="preserve">Điều chỉnh giảm số tiền 44,519 triệu đồng sang công trình Đầu tư lưới điện hạ thế khu trung tâm hành chính huyện </t>
  </si>
  <si>
    <t xml:space="preserve">860/QĐ-UBND huyện ngày 17/10/2017 </t>
  </si>
  <si>
    <t>872/QĐ-UBND huyện ngày 25/10/2017</t>
  </si>
  <si>
    <t>373/QĐ-UBND huyện ngày 24/9/2019</t>
  </si>
  <si>
    <t>876/QĐ-UBND huyện ngày 30/10/2017</t>
  </si>
  <si>
    <t>868/QĐ-UBND huyện ngày 23/10/2017</t>
  </si>
  <si>
    <t>495/QĐ-UBND ngày 30/10/2019</t>
  </si>
  <si>
    <t>498/QĐ-UBND huyện ngày 30/10/2019</t>
  </si>
  <si>
    <t>434/QĐ-UBND ngày 14/10/2019</t>
  </si>
  <si>
    <t>791/QĐ-UBND huyện ngày 27/09/2017</t>
  </si>
  <si>
    <t>476//QĐ-UBND huyện ngày 25/10/2019</t>
  </si>
  <si>
    <t>245/QĐ-UBND ngày 28/6/2019</t>
  </si>
  <si>
    <t>415/QĐ-UBND huyện ngày 08/10/2019</t>
  </si>
  <si>
    <t>416/QĐ-UBND huyện ngày 08/10/2019</t>
  </si>
  <si>
    <t>496/QĐ-UBND huyện ngày 30/10/2019</t>
  </si>
  <si>
    <t>493//QĐ-UBND huyện ngày 30/10/2019</t>
  </si>
  <si>
    <t>497//QĐ-UBND huyện ngày 30/10/2019</t>
  </si>
  <si>
    <t>292//QĐ-UBND huyện ngày 31/7/2019</t>
  </si>
  <si>
    <t>76/QĐ-UBND xã Ia Tơi ngày 30/9/2019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</si>
</sst>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0"/>
    <numFmt numFmtId="174" formatCode="0.0"/>
    <numFmt numFmtId="175" formatCode="_(* #,##0.0_);_(* \(#,##0.0\);_(* &quot;-&quot;??_);_(@_)"/>
    <numFmt numFmtId="176" formatCode="_(* #,##0.000_);_(* \(#,##0.000\);_(* &quot;-&quot;??_);_(@_)"/>
    <numFmt numFmtId="177" formatCode="[$-42A]h:mm:ss\ AM/PM"/>
    <numFmt numFmtId="178" formatCode="[$-42A]dd\ mmmm\ yyyy"/>
    <numFmt numFmtId="179" formatCode="#,##0\ _₫"/>
    <numFmt numFmtId="180" formatCode="_-* #,##0\ _₫_-;\-* #,##0\ _₫_-;_-* &quot;-&quot;??\ _₫_-;_-@_-"/>
    <numFmt numFmtId="181" formatCode="_(* #,##0.0000_);_(* \(#,##0.0000\);_(* &quot;-&quot;??_);_(@_)"/>
    <numFmt numFmtId="182" formatCode="_(* #,##0.00000_);_(* \(#,##0.00000\);_(* &quot;-&quot;??_);_(@_)"/>
    <numFmt numFmtId="183" formatCode="_-* #,##0.00_-;\-* #,##0.00_-;_-* &quot;-&quot;??_-;_-@_-"/>
    <numFmt numFmtId="184" formatCode="_-* #,##0_-;\-* #,##0_-;_-* &quot;-&quot;??_-;_-@_-"/>
    <numFmt numFmtId="185" formatCode="_-* #,##0.0\ _₫_-;\-* #,##0.0\ _₫_-;_-* &quot;-&quot;??\ _₫_-;_-@_-"/>
    <numFmt numFmtId="186" formatCode="_-* #,##0.0\ _₫_-;\-* #,##0.0\ _₫_-;_-* &quot;-&quot;?\ _₫_-;_-@_-"/>
  </numFmts>
  <fonts count="89">
    <font>
      <sz val="13"/>
      <color theme="1"/>
      <name val="Times New Roman"/>
      <family val="2"/>
    </font>
    <font>
      <sz val="11"/>
      <color indexed="8"/>
      <name val="Calibri"/>
      <family val="2"/>
    </font>
    <font>
      <sz val="10"/>
      <name val="Arial"/>
      <family val="2"/>
    </font>
    <font>
      <b/>
      <i/>
      <sz val="13"/>
      <color indexed="18"/>
      <name val="Narrow"/>
      <family val="0"/>
    </font>
    <font>
      <i/>
      <sz val="13"/>
      <color indexed="18"/>
      <name val="Narrow"/>
      <family val="0"/>
    </font>
    <font>
      <i/>
      <sz val="13"/>
      <name val="Times New Roman"/>
      <family val="1"/>
    </font>
    <font>
      <b/>
      <sz val="13"/>
      <name val="Times New Roman"/>
      <family val="1"/>
    </font>
    <font>
      <b/>
      <i/>
      <sz val="13"/>
      <name val="Times New Roman"/>
      <family val="1"/>
    </font>
    <font>
      <sz val="13"/>
      <name val="Times New Roman"/>
      <family val="1"/>
    </font>
    <font>
      <b/>
      <sz val="13"/>
      <name val="Narrow"/>
      <family val="0"/>
    </font>
    <font>
      <b/>
      <i/>
      <sz val="13"/>
      <name val="Narrow"/>
      <family val="0"/>
    </font>
    <font>
      <i/>
      <sz val="11"/>
      <name val="Narrow"/>
      <family val="0"/>
    </font>
    <font>
      <sz val="13"/>
      <name val="Narrow"/>
      <family val="0"/>
    </font>
    <font>
      <i/>
      <sz val="13"/>
      <name val="Narrow"/>
      <family val="0"/>
    </font>
    <font>
      <i/>
      <sz val="14"/>
      <name val="Times New Roman"/>
      <family val="1"/>
    </font>
    <font>
      <sz val="14"/>
      <name val="Times New Roman"/>
      <family val="1"/>
    </font>
    <font>
      <b/>
      <sz val="14"/>
      <name val="Times New Roman"/>
      <family val="1"/>
    </font>
    <font>
      <b/>
      <i/>
      <sz val="13"/>
      <color indexed="8"/>
      <name val="Narrow"/>
      <family val="0"/>
    </font>
    <font>
      <i/>
      <sz val="13"/>
      <color indexed="8"/>
      <name val="Narrow"/>
      <family val="0"/>
    </font>
    <font>
      <sz val="13"/>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1"/>
      <color indexed="25"/>
      <name val="Times New Roman"/>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9.1"/>
      <color indexed="30"/>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3"/>
      <color indexed="18"/>
      <name val="Narrow"/>
      <family val="0"/>
    </font>
    <font>
      <i/>
      <sz val="11"/>
      <color indexed="18"/>
      <name val="Narrow"/>
      <family val="0"/>
    </font>
    <font>
      <sz val="13"/>
      <color indexed="18"/>
      <name val="Narrow"/>
      <family val="0"/>
    </font>
    <font>
      <sz val="11"/>
      <name val="Calibri"/>
      <family val="2"/>
    </font>
    <font>
      <i/>
      <sz val="11"/>
      <name val="Calibri"/>
      <family val="2"/>
    </font>
    <font>
      <b/>
      <sz val="11"/>
      <name val="Calibri"/>
      <family val="2"/>
    </font>
    <font>
      <sz val="13"/>
      <color indexed="8"/>
      <name val="Narrow"/>
      <family val="0"/>
    </font>
    <font>
      <b/>
      <sz val="13"/>
      <color indexed="8"/>
      <name val="Narrow"/>
      <family val="0"/>
    </font>
    <font>
      <b/>
      <i/>
      <sz val="14"/>
      <color indexed="8"/>
      <name val="Times New Roman"/>
      <family val="1"/>
    </font>
    <font>
      <i/>
      <sz val="11"/>
      <color indexed="8"/>
      <name val="Narrow"/>
      <family val="0"/>
    </font>
    <font>
      <sz val="10"/>
      <color indexed="8"/>
      <name val="Narrow"/>
      <family val="0"/>
    </font>
    <font>
      <b/>
      <sz val="13"/>
      <color indexed="10"/>
      <name val="Narrow"/>
      <family val="0"/>
    </font>
    <font>
      <i/>
      <sz val="11"/>
      <color indexed="10"/>
      <name val="Narrow"/>
      <family val="0"/>
    </font>
    <font>
      <sz val="13"/>
      <color indexed="10"/>
      <name val="Narrow"/>
      <family val="0"/>
    </font>
    <font>
      <b/>
      <sz val="13"/>
      <color indexed="8"/>
      <name val="Times New Roman"/>
      <family val="1"/>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1"/>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1"/>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3"/>
      <color rgb="FF000066"/>
      <name val="Narrow"/>
      <family val="0"/>
    </font>
    <font>
      <i/>
      <sz val="11"/>
      <color rgb="FF000066"/>
      <name val="Narrow"/>
      <family val="0"/>
    </font>
    <font>
      <sz val="13"/>
      <color rgb="FF000066"/>
      <name val="Narrow"/>
      <family val="0"/>
    </font>
    <font>
      <sz val="13"/>
      <color theme="1"/>
      <name val="Narrow"/>
      <family val="0"/>
    </font>
    <font>
      <b/>
      <sz val="13"/>
      <color theme="1"/>
      <name val="Narrow"/>
      <family val="0"/>
    </font>
    <font>
      <b/>
      <i/>
      <sz val="14"/>
      <color theme="1"/>
      <name val="Times New Roman"/>
      <family val="1"/>
    </font>
    <font>
      <i/>
      <sz val="11"/>
      <color theme="1"/>
      <name val="Narrow"/>
      <family val="0"/>
    </font>
    <font>
      <sz val="10"/>
      <color theme="1"/>
      <name val="Narrow"/>
      <family val="0"/>
    </font>
    <font>
      <b/>
      <sz val="13"/>
      <color rgb="FFFF0000"/>
      <name val="Narrow"/>
      <family val="0"/>
    </font>
    <font>
      <i/>
      <sz val="11"/>
      <color rgb="FFFF0000"/>
      <name val="Narrow"/>
      <family val="0"/>
    </font>
    <font>
      <sz val="13"/>
      <color rgb="FFFF0000"/>
      <name val="Narrow"/>
      <family val="0"/>
    </font>
    <font>
      <i/>
      <sz val="14"/>
      <color theme="1"/>
      <name val="Times New Roman"/>
      <family val="1"/>
    </font>
    <font>
      <b/>
      <sz val="14"/>
      <color theme="1"/>
      <name val="Times New Roman"/>
      <family val="1"/>
    </font>
    <font>
      <b/>
      <sz val="13"/>
      <color theme="1"/>
      <name val="Times New Roman"/>
      <family val="1"/>
    </font>
    <font>
      <b/>
      <i/>
      <sz val="13"/>
      <color rgb="FF000066"/>
      <name val="Narrow"/>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28" borderId="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0">
    <xf numFmtId="0" fontId="0" fillId="0" borderId="0" xfId="0" applyAlignment="1">
      <alignment/>
    </xf>
    <xf numFmtId="0" fontId="74" fillId="0" borderId="0" xfId="0" applyFont="1" applyFill="1" applyAlignment="1">
      <alignment horizontal="center" vertical="center"/>
    </xf>
    <xf numFmtId="0" fontId="74" fillId="0" borderId="0" xfId="0" applyFont="1" applyFill="1" applyAlignment="1">
      <alignment horizontal="left" vertical="center"/>
    </xf>
    <xf numFmtId="172" fontId="74" fillId="0" borderId="0" xfId="41" applyNumberFormat="1" applyFont="1" applyFill="1" applyAlignment="1">
      <alignment horizontal="center" vertical="center"/>
    </xf>
    <xf numFmtId="0" fontId="74" fillId="0" borderId="0" xfId="0" applyFont="1" applyFill="1" applyAlignment="1">
      <alignment horizontal="center" vertical="center" wrapText="1"/>
    </xf>
    <xf numFmtId="0" fontId="74" fillId="0" borderId="0" xfId="0" applyFont="1" applyFill="1" applyAlignment="1">
      <alignment horizontal="left" vertical="center" wrapText="1"/>
    </xf>
    <xf numFmtId="172" fontId="74" fillId="0" borderId="0" xfId="41" applyNumberFormat="1" applyFont="1" applyFill="1" applyAlignment="1">
      <alignment horizontal="center" vertical="center" wrapText="1"/>
    </xf>
    <xf numFmtId="172" fontId="74" fillId="0" borderId="10" xfId="41" applyNumberFormat="1" applyFont="1" applyFill="1" applyBorder="1" applyAlignment="1">
      <alignment horizontal="center" vertical="center"/>
    </xf>
    <xf numFmtId="172" fontId="74" fillId="0" borderId="10" xfId="41" applyNumberFormat="1" applyFont="1" applyFill="1" applyBorder="1" applyAlignment="1">
      <alignment horizontal="center" vertical="center" wrapText="1"/>
    </xf>
    <xf numFmtId="0" fontId="75" fillId="0" borderId="10" xfId="0" applyFont="1" applyFill="1" applyBorder="1" applyAlignment="1">
      <alignment horizontal="center" vertical="center"/>
    </xf>
    <xf numFmtId="0" fontId="74" fillId="0" borderId="11" xfId="0" applyFont="1" applyFill="1" applyBorder="1" applyAlignment="1">
      <alignment horizontal="center" vertical="center"/>
    </xf>
    <xf numFmtId="172" fontId="74" fillId="0" borderId="11" xfId="41" applyNumberFormat="1" applyFont="1" applyFill="1" applyBorder="1" applyAlignment="1">
      <alignment horizontal="center" vertical="center"/>
    </xf>
    <xf numFmtId="0" fontId="74" fillId="0" borderId="12" xfId="0" applyFont="1" applyFill="1" applyBorder="1" applyAlignment="1">
      <alignment horizontal="center" vertical="center"/>
    </xf>
    <xf numFmtId="172" fontId="74" fillId="0" borderId="12" xfId="41" applyNumberFormat="1" applyFont="1" applyFill="1" applyBorder="1" applyAlignment="1">
      <alignment horizontal="center" vertical="center"/>
    </xf>
    <xf numFmtId="0" fontId="74" fillId="0" borderId="12" xfId="0" applyFont="1" applyFill="1" applyBorder="1" applyAlignment="1">
      <alignment horizontal="center" vertical="center" wrapText="1"/>
    </xf>
    <xf numFmtId="0" fontId="76" fillId="0" borderId="12" xfId="0" applyFont="1" applyFill="1" applyBorder="1" applyAlignment="1">
      <alignment horizontal="center" vertical="center"/>
    </xf>
    <xf numFmtId="0" fontId="76" fillId="0" borderId="12" xfId="0" applyFont="1" applyFill="1" applyBorder="1" applyAlignment="1">
      <alignment horizontal="left" vertical="center" wrapText="1"/>
    </xf>
    <xf numFmtId="0" fontId="76" fillId="0" borderId="12" xfId="0" applyFont="1" applyFill="1" applyBorder="1" applyAlignment="1">
      <alignment horizontal="center" vertical="center" wrapText="1"/>
    </xf>
    <xf numFmtId="172" fontId="76" fillId="0" borderId="12" xfId="41" applyNumberFormat="1" applyFont="1" applyFill="1" applyBorder="1" applyAlignment="1">
      <alignment horizontal="center" vertical="center"/>
    </xf>
    <xf numFmtId="0" fontId="76" fillId="0" borderId="12" xfId="0" applyFont="1" applyFill="1" applyBorder="1" applyAlignment="1">
      <alignment horizontal="left" vertical="center"/>
    </xf>
    <xf numFmtId="0" fontId="76" fillId="0" borderId="13" xfId="0" applyFont="1" applyFill="1" applyBorder="1" applyAlignment="1">
      <alignment horizontal="center" vertical="center" wrapText="1"/>
    </xf>
    <xf numFmtId="172" fontId="76" fillId="0" borderId="13" xfId="41" applyNumberFormat="1" applyFont="1" applyFill="1" applyBorder="1" applyAlignment="1">
      <alignment horizontal="center" vertical="center"/>
    </xf>
    <xf numFmtId="0" fontId="76" fillId="0" borderId="13" xfId="0" applyFont="1" applyFill="1" applyBorder="1" applyAlignment="1">
      <alignment horizontal="left" vertical="center" wrapText="1"/>
    </xf>
    <xf numFmtId="172" fontId="76" fillId="0" borderId="13" xfId="41" applyNumberFormat="1" applyFont="1" applyFill="1" applyBorder="1" applyAlignment="1">
      <alignment horizontal="center" vertical="center" wrapText="1"/>
    </xf>
    <xf numFmtId="0" fontId="76" fillId="0" borderId="12" xfId="0" applyFont="1" applyFill="1" applyBorder="1" applyAlignment="1" quotePrefix="1">
      <alignment horizontal="center" vertical="center"/>
    </xf>
    <xf numFmtId="172" fontId="76" fillId="0" borderId="12" xfId="41" applyNumberFormat="1" applyFont="1" applyFill="1" applyBorder="1" applyAlignment="1">
      <alignment horizontal="center" vertical="center" wrapText="1"/>
    </xf>
    <xf numFmtId="0" fontId="76" fillId="0" borderId="13" xfId="0" applyFont="1" applyFill="1" applyBorder="1" applyAlignment="1">
      <alignment vertical="center" wrapText="1"/>
    </xf>
    <xf numFmtId="0" fontId="75"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172" fontId="74" fillId="0" borderId="11" xfId="41" applyNumberFormat="1" applyFont="1" applyFill="1" applyBorder="1" applyAlignment="1">
      <alignment horizontal="center" vertical="center" wrapText="1"/>
    </xf>
    <xf numFmtId="172" fontId="74" fillId="0" borderId="12" xfId="41" applyNumberFormat="1" applyFont="1" applyFill="1" applyBorder="1" applyAlignment="1">
      <alignment horizontal="center" vertical="center" wrapText="1"/>
    </xf>
    <xf numFmtId="172" fontId="76" fillId="0" borderId="0" xfId="0" applyNumberFormat="1" applyFont="1" applyFill="1" applyAlignment="1">
      <alignment horizontal="center" vertical="center"/>
    </xf>
    <xf numFmtId="0" fontId="74" fillId="33" borderId="12" xfId="0" applyFont="1" applyFill="1" applyBorder="1" applyAlignment="1">
      <alignment horizontal="center" vertical="center"/>
    </xf>
    <xf numFmtId="0" fontId="74" fillId="33" borderId="12" xfId="0" applyFont="1" applyFill="1" applyBorder="1" applyAlignment="1">
      <alignment horizontal="center" vertical="center" wrapText="1"/>
    </xf>
    <xf numFmtId="172" fontId="74" fillId="33" borderId="12" xfId="41" applyNumberFormat="1" applyFont="1" applyFill="1" applyBorder="1" applyAlignment="1">
      <alignment horizontal="center" vertical="center"/>
    </xf>
    <xf numFmtId="172" fontId="74" fillId="33" borderId="12" xfId="41" applyNumberFormat="1" applyFont="1" applyFill="1" applyBorder="1" applyAlignment="1">
      <alignment horizontal="center" vertical="center" wrapText="1"/>
    </xf>
    <xf numFmtId="172" fontId="74" fillId="0" borderId="14" xfId="41" applyNumberFormat="1" applyFont="1" applyFill="1" applyBorder="1" applyAlignment="1">
      <alignment vertical="center"/>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4" fillId="15" borderId="12" xfId="0" applyFont="1" applyFill="1" applyBorder="1" applyAlignment="1">
      <alignment horizontal="center" vertical="center"/>
    </xf>
    <xf numFmtId="0" fontId="74" fillId="15" borderId="12" xfId="0" applyFont="1" applyFill="1" applyBorder="1" applyAlignment="1">
      <alignment horizontal="center" vertical="center" wrapText="1"/>
    </xf>
    <xf numFmtId="172" fontId="74" fillId="15" borderId="12" xfId="41" applyNumberFormat="1" applyFont="1" applyFill="1" applyBorder="1" applyAlignment="1">
      <alignment horizontal="center" vertical="center"/>
    </xf>
    <xf numFmtId="172" fontId="74" fillId="15" borderId="12" xfId="41" applyNumberFormat="1" applyFont="1" applyFill="1" applyBorder="1" applyAlignment="1">
      <alignment horizontal="center" vertical="center" wrapText="1"/>
    </xf>
    <xf numFmtId="0" fontId="74" fillId="6" borderId="12" xfId="0" applyFont="1" applyFill="1" applyBorder="1" applyAlignment="1">
      <alignment horizontal="center" vertical="center"/>
    </xf>
    <xf numFmtId="0" fontId="74" fillId="6" borderId="12" xfId="0" applyFont="1" applyFill="1" applyBorder="1" applyAlignment="1">
      <alignment horizontal="center" vertical="center" wrapText="1"/>
    </xf>
    <xf numFmtId="172" fontId="74" fillId="6" borderId="12" xfId="41" applyNumberFormat="1" applyFont="1" applyFill="1" applyBorder="1" applyAlignment="1">
      <alignment horizontal="center" vertical="center"/>
    </xf>
    <xf numFmtId="172" fontId="74" fillId="6" borderId="12" xfId="41" applyNumberFormat="1" applyFont="1" applyFill="1" applyBorder="1" applyAlignment="1">
      <alignment horizontal="center" vertical="center" wrapText="1"/>
    </xf>
    <xf numFmtId="0" fontId="74" fillId="6" borderId="15" xfId="0" applyFont="1" applyFill="1" applyBorder="1" applyAlignment="1">
      <alignment horizontal="center" vertical="center"/>
    </xf>
    <xf numFmtId="0" fontId="74" fillId="6" borderId="15" xfId="0" applyFont="1" applyFill="1" applyBorder="1" applyAlignment="1">
      <alignment horizontal="center" vertical="center" wrapText="1"/>
    </xf>
    <xf numFmtId="172" fontId="74" fillId="6" borderId="15" xfId="41" applyNumberFormat="1" applyFont="1" applyFill="1" applyBorder="1" applyAlignment="1">
      <alignment horizontal="center" vertical="center" wrapText="1"/>
    </xf>
    <xf numFmtId="172" fontId="74" fillId="6" borderId="15" xfId="41" applyNumberFormat="1" applyFont="1" applyFill="1" applyBorder="1" applyAlignment="1">
      <alignment horizontal="center" vertical="center"/>
    </xf>
    <xf numFmtId="172" fontId="76" fillId="0" borderId="12" xfId="0" applyNumberFormat="1" applyFont="1" applyFill="1" applyBorder="1" applyAlignment="1">
      <alignment horizontal="center" vertical="center"/>
    </xf>
    <xf numFmtId="0" fontId="76" fillId="0" borderId="13" xfId="0" applyFont="1" applyFill="1" applyBorder="1" applyAlignment="1" quotePrefix="1">
      <alignment horizontal="center" vertical="center" wrapText="1"/>
    </xf>
    <xf numFmtId="179" fontId="76" fillId="0" borderId="12" xfId="0" applyNumberFormat="1" applyFont="1" applyFill="1" applyBorder="1" applyAlignment="1">
      <alignment horizontal="center" vertical="center" wrapText="1"/>
    </xf>
    <xf numFmtId="0" fontId="74" fillId="0" borderId="12" xfId="0" applyFont="1" applyFill="1" applyBorder="1" applyAlignment="1">
      <alignment horizontal="left" vertical="center" wrapText="1"/>
    </xf>
    <xf numFmtId="179" fontId="74" fillId="0" borderId="12" xfId="0" applyNumberFormat="1" applyFont="1" applyFill="1" applyBorder="1" applyAlignment="1">
      <alignment horizontal="center" vertical="center" wrapText="1"/>
    </xf>
    <xf numFmtId="0" fontId="76" fillId="0" borderId="16" xfId="0" applyFont="1" applyFill="1" applyBorder="1" applyAlignment="1">
      <alignment horizontal="center" vertical="center"/>
    </xf>
    <xf numFmtId="0" fontId="76" fillId="0" borderId="17" xfId="0" applyFont="1" applyFill="1" applyBorder="1" applyAlignment="1">
      <alignment horizontal="left" vertical="center" wrapText="1"/>
    </xf>
    <xf numFmtId="0" fontId="76" fillId="0" borderId="16" xfId="0" applyFont="1" applyFill="1" applyBorder="1" applyAlignment="1">
      <alignment horizontal="center" vertical="center" wrapText="1"/>
    </xf>
    <xf numFmtId="172" fontId="76" fillId="0" borderId="16" xfId="41" applyNumberFormat="1" applyFont="1" applyFill="1" applyBorder="1" applyAlignment="1">
      <alignment horizontal="center" vertical="center" wrapText="1"/>
    </xf>
    <xf numFmtId="172" fontId="76" fillId="0" borderId="16" xfId="41" applyNumberFormat="1" applyFont="1" applyFill="1" applyBorder="1" applyAlignment="1">
      <alignment horizontal="center" vertical="center"/>
    </xf>
    <xf numFmtId="172" fontId="6" fillId="34" borderId="10" xfId="43" applyNumberFormat="1" applyFont="1" applyFill="1" applyBorder="1" applyAlignment="1">
      <alignment horizontal="right" vertical="center" wrapText="1"/>
    </xf>
    <xf numFmtId="0" fontId="9" fillId="34" borderId="0" xfId="0" applyFont="1" applyFill="1" applyAlignment="1">
      <alignment horizontal="center" vertical="center"/>
    </xf>
    <xf numFmtId="172" fontId="9" fillId="34" borderId="0" xfId="41" applyNumberFormat="1" applyFont="1" applyFill="1" applyAlignment="1">
      <alignment horizontal="center" vertical="center"/>
    </xf>
    <xf numFmtId="172" fontId="9" fillId="34" borderId="0" xfId="41" applyNumberFormat="1" applyFont="1" applyFill="1" applyAlignment="1">
      <alignment horizontal="center" vertical="center" wrapText="1"/>
    </xf>
    <xf numFmtId="0" fontId="12" fillId="34" borderId="0" xfId="0" applyFont="1" applyFill="1" applyAlignment="1">
      <alignment horizontal="center" vertical="center"/>
    </xf>
    <xf numFmtId="0" fontId="9" fillId="34" borderId="0" xfId="0" applyFont="1" applyFill="1" applyAlignment="1">
      <alignment horizontal="left" vertical="center"/>
    </xf>
    <xf numFmtId="0" fontId="5" fillId="34" borderId="0" xfId="59" applyFont="1" applyFill="1" applyAlignment="1">
      <alignment horizontal="center" vertical="center"/>
      <protection/>
    </xf>
    <xf numFmtId="0" fontId="41" fillId="34" borderId="0" xfId="59" applyFont="1" applyFill="1" applyAlignment="1">
      <alignment vertical="center"/>
      <protection/>
    </xf>
    <xf numFmtId="0" fontId="6" fillId="34" borderId="0" xfId="59" applyFont="1" applyFill="1" applyBorder="1" applyAlignment="1">
      <alignment horizontal="center" vertical="center"/>
      <protection/>
    </xf>
    <xf numFmtId="0" fontId="6" fillId="34" borderId="10" xfId="59" applyFont="1" applyFill="1" applyBorder="1" applyAlignment="1">
      <alignment horizontal="center" vertical="center" wrapText="1"/>
      <protection/>
    </xf>
    <xf numFmtId="0" fontId="7" fillId="34" borderId="10" xfId="59" applyFont="1" applyFill="1" applyBorder="1" applyAlignment="1">
      <alignment horizontal="center" vertical="center" wrapText="1"/>
      <protection/>
    </xf>
    <xf numFmtId="172" fontId="6" fillId="34" borderId="10" xfId="59" applyNumberFormat="1" applyFont="1" applyFill="1" applyBorder="1" applyAlignment="1">
      <alignment horizontal="right" vertical="center" wrapText="1"/>
      <protection/>
    </xf>
    <xf numFmtId="0" fontId="6" fillId="34" borderId="10" xfId="59" applyFont="1" applyFill="1" applyBorder="1" applyAlignment="1">
      <alignment horizontal="justify" vertical="center" wrapText="1"/>
      <protection/>
    </xf>
    <xf numFmtId="172" fontId="6" fillId="34" borderId="10" xfId="43" applyNumberFormat="1" applyFont="1" applyFill="1" applyBorder="1" applyAlignment="1">
      <alignment horizontal="justify" vertical="center" wrapText="1"/>
    </xf>
    <xf numFmtId="0" fontId="8" fillId="34" borderId="10" xfId="59" applyFont="1" applyFill="1" applyBorder="1" applyAlignment="1">
      <alignment horizontal="center" vertical="center" wrapText="1"/>
      <protection/>
    </xf>
    <xf numFmtId="0" fontId="8" fillId="34" borderId="10" xfId="59" applyFont="1" applyFill="1" applyBorder="1" applyAlignment="1">
      <alignment horizontal="justify" vertical="center" wrapText="1"/>
      <protection/>
    </xf>
    <xf numFmtId="172" fontId="8" fillId="34" borderId="10" xfId="43" applyNumberFormat="1" applyFont="1" applyFill="1" applyBorder="1" applyAlignment="1">
      <alignment horizontal="right" vertical="center" wrapText="1"/>
    </xf>
    <xf numFmtId="172" fontId="8" fillId="34" borderId="10" xfId="43" applyNumberFormat="1" applyFont="1" applyFill="1" applyBorder="1" applyAlignment="1">
      <alignment horizontal="justify" vertical="center" wrapText="1"/>
    </xf>
    <xf numFmtId="0" fontId="8" fillId="34" borderId="10" xfId="59" applyFont="1" applyFill="1" applyBorder="1" applyAlignment="1" quotePrefix="1">
      <alignment horizontal="center" vertical="center" wrapText="1"/>
      <protection/>
    </xf>
    <xf numFmtId="172" fontId="8" fillId="34" borderId="10" xfId="59" applyNumberFormat="1" applyFont="1" applyFill="1" applyBorder="1" applyAlignment="1">
      <alignment horizontal="right" vertical="center" wrapText="1"/>
      <protection/>
    </xf>
    <xf numFmtId="0" fontId="42" fillId="34" borderId="0" xfId="59" applyFont="1" applyFill="1" applyAlignment="1">
      <alignment vertical="center"/>
      <protection/>
    </xf>
    <xf numFmtId="0" fontId="43" fillId="34" borderId="0" xfId="59" applyFont="1" applyFill="1" applyAlignment="1">
      <alignment vertical="center"/>
      <protection/>
    </xf>
    <xf numFmtId="172" fontId="41" fillId="34" borderId="0" xfId="59" applyNumberFormat="1" applyFont="1" applyFill="1" applyAlignment="1">
      <alignment vertical="center"/>
      <protection/>
    </xf>
    <xf numFmtId="0" fontId="41" fillId="34" borderId="0" xfId="59" applyFont="1" applyFill="1" applyAlignment="1">
      <alignment horizontal="center" vertical="center"/>
      <protection/>
    </xf>
    <xf numFmtId="0" fontId="11" fillId="34" borderId="10" xfId="0" applyFont="1" applyFill="1" applyBorder="1" applyAlignment="1">
      <alignment horizontal="center" vertical="center"/>
    </xf>
    <xf numFmtId="172" fontId="8" fillId="34" borderId="10" xfId="41" applyNumberFormat="1" applyFont="1" applyFill="1" applyBorder="1" applyAlignment="1">
      <alignment horizontal="right" vertical="center" wrapText="1"/>
    </xf>
    <xf numFmtId="0" fontId="16" fillId="34" borderId="0" xfId="0" applyFont="1" applyFill="1" applyAlignment="1">
      <alignment horizontal="center" vertical="center"/>
    </xf>
    <xf numFmtId="0" fontId="16" fillId="34" borderId="0" xfId="0" applyFont="1" applyFill="1" applyAlignment="1">
      <alignment horizontal="left" vertical="center"/>
    </xf>
    <xf numFmtId="172" fontId="16" fillId="34" borderId="0" xfId="41" applyNumberFormat="1" applyFont="1" applyFill="1" applyAlignment="1">
      <alignment horizontal="center" vertical="center" wrapText="1"/>
    </xf>
    <xf numFmtId="0" fontId="16" fillId="34" borderId="0" xfId="0" applyFont="1" applyFill="1" applyAlignment="1">
      <alignment horizontal="left" vertical="center" wrapText="1"/>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0" fontId="9" fillId="34" borderId="10" xfId="0" applyFont="1" applyFill="1" applyBorder="1" applyAlignment="1">
      <alignment horizontal="left" vertical="center"/>
    </xf>
    <xf numFmtId="0" fontId="12" fillId="34" borderId="10" xfId="0" applyFont="1" applyFill="1" applyBorder="1" applyAlignment="1">
      <alignment horizontal="left" vertical="center" wrapText="1"/>
    </xf>
    <xf numFmtId="172" fontId="12" fillId="34" borderId="10" xfId="41" applyNumberFormat="1" applyFont="1" applyFill="1" applyBorder="1" applyAlignment="1">
      <alignment horizontal="center" vertical="center" wrapText="1"/>
    </xf>
    <xf numFmtId="172" fontId="12" fillId="34" borderId="10" xfId="41" applyNumberFormat="1" applyFont="1" applyFill="1" applyBorder="1" applyAlignment="1">
      <alignment horizontal="center" vertical="center"/>
    </xf>
    <xf numFmtId="0" fontId="12" fillId="34" borderId="10" xfId="0" applyFont="1" applyFill="1" applyBorder="1" applyAlignment="1">
      <alignment vertical="center" wrapText="1"/>
    </xf>
    <xf numFmtId="0" fontId="6" fillId="34" borderId="10" xfId="59" applyFont="1" applyFill="1" applyBorder="1" applyAlignment="1">
      <alignment horizontal="center" vertical="center" wrapText="1"/>
      <protection/>
    </xf>
    <xf numFmtId="0" fontId="6" fillId="34" borderId="0" xfId="59" applyFont="1" applyFill="1" applyBorder="1" applyAlignment="1">
      <alignment horizontal="center" vertical="center"/>
      <protection/>
    </xf>
    <xf numFmtId="172" fontId="6" fillId="34" borderId="10" xfId="41" applyNumberFormat="1" applyFont="1" applyFill="1" applyBorder="1" applyAlignment="1">
      <alignment horizontal="right" vertical="center" wrapText="1"/>
    </xf>
    <xf numFmtId="172" fontId="43" fillId="34" borderId="0" xfId="59" applyNumberFormat="1" applyFont="1" applyFill="1" applyAlignment="1">
      <alignment vertical="center"/>
      <protection/>
    </xf>
    <xf numFmtId="0" fontId="6" fillId="34" borderId="10" xfId="59" applyFont="1" applyFill="1" applyBorder="1" applyAlignment="1">
      <alignment horizontal="center" vertical="center" wrapText="1"/>
      <protection/>
    </xf>
    <xf numFmtId="0" fontId="12" fillId="34" borderId="10" xfId="0" applyFont="1" applyFill="1" applyBorder="1" applyAlignment="1">
      <alignment horizontal="center" vertical="center" wrapText="1"/>
    </xf>
    <xf numFmtId="0" fontId="12" fillId="34" borderId="10" xfId="0" applyFont="1" applyFill="1" applyBorder="1" applyAlignment="1">
      <alignment horizontal="center" vertical="center"/>
    </xf>
    <xf numFmtId="172" fontId="8" fillId="34" borderId="10" xfId="43" applyNumberFormat="1" applyFont="1" applyFill="1" applyBorder="1" applyAlignment="1">
      <alignment horizontal="center" vertical="center" wrapText="1"/>
    </xf>
    <xf numFmtId="172" fontId="6" fillId="34" borderId="10" xfId="59" applyNumberFormat="1" applyFont="1" applyFill="1" applyBorder="1" applyAlignment="1">
      <alignment horizontal="center" vertical="center" wrapText="1"/>
      <protection/>
    </xf>
    <xf numFmtId="0" fontId="16" fillId="34" borderId="0" xfId="0" applyFont="1" applyFill="1" applyAlignment="1">
      <alignment horizontal="center" vertical="center" wrapText="1"/>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0" fontId="9"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 fillId="34" borderId="10" xfId="59" applyFont="1" applyFill="1" applyBorder="1" applyAlignment="1">
      <alignment horizontal="center" vertical="center" wrapText="1"/>
      <protection/>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172" fontId="77" fillId="34" borderId="10" xfId="41" applyNumberFormat="1" applyFont="1" applyFill="1" applyBorder="1" applyAlignment="1">
      <alignment horizontal="center" vertical="center" wrapText="1"/>
    </xf>
    <xf numFmtId="172" fontId="77" fillId="34" borderId="10" xfId="41" applyNumberFormat="1" applyFont="1" applyFill="1" applyBorder="1" applyAlignment="1">
      <alignment horizontal="center" vertical="center"/>
    </xf>
    <xf numFmtId="0" fontId="77" fillId="34" borderId="10" xfId="0" applyFont="1" applyFill="1" applyBorder="1" applyAlignment="1">
      <alignment horizontal="center" vertical="center"/>
    </xf>
    <xf numFmtId="0" fontId="77" fillId="34" borderId="10" xfId="0" applyFont="1" applyFill="1" applyBorder="1" applyAlignment="1">
      <alignment horizontal="left" vertical="center" wrapText="1"/>
    </xf>
    <xf numFmtId="0" fontId="77" fillId="34" borderId="10" xfId="0" applyFont="1" applyFill="1" applyBorder="1" applyAlignment="1">
      <alignment horizontal="center" vertical="center" wrapText="1"/>
    </xf>
    <xf numFmtId="0" fontId="77" fillId="34" borderId="0" xfId="0" applyFont="1" applyFill="1" applyAlignment="1">
      <alignment horizontal="center" vertical="center"/>
    </xf>
    <xf numFmtId="172" fontId="77" fillId="34" borderId="0" xfId="41" applyNumberFormat="1" applyFont="1" applyFill="1" applyAlignment="1">
      <alignment horizontal="center" vertical="center"/>
    </xf>
    <xf numFmtId="0" fontId="78" fillId="34" borderId="0" xfId="0" applyFont="1" applyFill="1" applyAlignment="1">
      <alignment horizontal="center" vertical="center"/>
    </xf>
    <xf numFmtId="172" fontId="78" fillId="34" borderId="0" xfId="41" applyNumberFormat="1" applyFont="1" applyFill="1" applyAlignment="1">
      <alignment horizontal="center" vertical="center"/>
    </xf>
    <xf numFmtId="0" fontId="79" fillId="34" borderId="0" xfId="0" applyFont="1" applyFill="1" applyAlignment="1">
      <alignment horizontal="center" vertical="center" wrapText="1"/>
    </xf>
    <xf numFmtId="172" fontId="78" fillId="34" borderId="10" xfId="41" applyNumberFormat="1" applyFont="1" applyFill="1" applyBorder="1" applyAlignment="1">
      <alignment horizontal="center" vertical="center"/>
    </xf>
    <xf numFmtId="172" fontId="78" fillId="34" borderId="10" xfId="41" applyNumberFormat="1" applyFont="1" applyFill="1" applyBorder="1" applyAlignment="1">
      <alignment horizontal="center" vertical="center" wrapText="1"/>
    </xf>
    <xf numFmtId="0" fontId="80" fillId="34" borderId="10"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10" xfId="0" applyFont="1" applyFill="1" applyBorder="1" applyAlignment="1">
      <alignment horizontal="center" vertical="center" wrapText="1"/>
    </xf>
    <xf numFmtId="172" fontId="77" fillId="34" borderId="0" xfId="0" applyNumberFormat="1" applyFont="1" applyFill="1" applyAlignment="1">
      <alignment horizontal="center" vertical="center"/>
    </xf>
    <xf numFmtId="0" fontId="77" fillId="34" borderId="12" xfId="0" applyFont="1" applyFill="1" applyBorder="1" applyAlignment="1">
      <alignment horizontal="left" vertical="center"/>
    </xf>
    <xf numFmtId="172" fontId="77" fillId="34" borderId="10" xfId="0" applyNumberFormat="1" applyFont="1" applyFill="1" applyBorder="1" applyAlignment="1">
      <alignment horizontal="center" vertical="center"/>
    </xf>
    <xf numFmtId="0" fontId="77" fillId="34" borderId="10" xfId="0" applyFont="1" applyFill="1" applyBorder="1" applyAlignment="1" quotePrefix="1">
      <alignment horizontal="center" vertical="center"/>
    </xf>
    <xf numFmtId="0" fontId="77" fillId="34" borderId="0" xfId="0" applyFont="1" applyFill="1" applyAlignment="1">
      <alignment vertical="center" wrapText="1"/>
    </xf>
    <xf numFmtId="172" fontId="77" fillId="34" borderId="10" xfId="0" applyNumberFormat="1" applyFont="1" applyFill="1" applyBorder="1" applyAlignment="1">
      <alignment horizontal="center" vertical="center" wrapText="1"/>
    </xf>
    <xf numFmtId="172" fontId="78" fillId="34" borderId="10" xfId="41" applyNumberFormat="1" applyFont="1" applyFill="1" applyBorder="1" applyAlignment="1">
      <alignment vertical="center"/>
    </xf>
    <xf numFmtId="0" fontId="77" fillId="34" borderId="10" xfId="0" applyFont="1" applyFill="1" applyBorder="1" applyAlignment="1">
      <alignment horizontal="left" vertical="center"/>
    </xf>
    <xf numFmtId="0" fontId="77" fillId="34" borderId="10" xfId="0" applyFont="1" applyFill="1" applyBorder="1" applyAlignment="1">
      <alignment vertical="center" wrapText="1"/>
    </xf>
    <xf numFmtId="172" fontId="77" fillId="34" borderId="10" xfId="0" applyNumberFormat="1" applyFont="1" applyFill="1" applyBorder="1" applyAlignment="1">
      <alignment vertical="center" wrapText="1"/>
    </xf>
    <xf numFmtId="172" fontId="77" fillId="34" borderId="10" xfId="0" applyNumberFormat="1" applyFont="1" applyFill="1" applyBorder="1" applyAlignment="1">
      <alignment vertical="center"/>
    </xf>
    <xf numFmtId="171" fontId="78" fillId="34" borderId="10" xfId="41" applyFont="1" applyFill="1" applyBorder="1" applyAlignment="1">
      <alignment horizontal="center" vertical="center"/>
    </xf>
    <xf numFmtId="175" fontId="78" fillId="34" borderId="10" xfId="41" applyNumberFormat="1" applyFont="1" applyFill="1" applyBorder="1" applyAlignment="1">
      <alignment horizontal="center" vertical="center"/>
    </xf>
    <xf numFmtId="0" fontId="78" fillId="34" borderId="10" xfId="0" applyFont="1" applyFill="1" applyBorder="1" applyAlignment="1">
      <alignment horizontal="center" vertical="center" wrapText="1"/>
    </xf>
    <xf numFmtId="172" fontId="78" fillId="34" borderId="10" xfId="41" applyNumberFormat="1" applyFont="1" applyFill="1" applyBorder="1" applyAlignment="1">
      <alignment horizontal="center" vertical="center" wrapText="1"/>
    </xf>
    <xf numFmtId="172" fontId="78" fillId="34" borderId="10" xfId="41" applyNumberFormat="1" applyFont="1" applyFill="1" applyBorder="1" applyAlignment="1">
      <alignment horizontal="center" vertical="center"/>
    </xf>
    <xf numFmtId="172" fontId="78" fillId="34" borderId="10" xfId="0" applyNumberFormat="1" applyFont="1" applyFill="1" applyBorder="1" applyAlignment="1">
      <alignment horizontal="center" vertical="center" wrapText="1"/>
    </xf>
    <xf numFmtId="0" fontId="78" fillId="34" borderId="0" xfId="0" applyFont="1" applyFill="1" applyAlignment="1">
      <alignment horizontal="center" vertical="center"/>
    </xf>
    <xf numFmtId="172" fontId="78" fillId="34" borderId="0" xfId="0" applyNumberFormat="1" applyFont="1" applyFill="1" applyAlignment="1">
      <alignment horizontal="center" vertical="center"/>
    </xf>
    <xf numFmtId="172" fontId="78" fillId="34" borderId="0" xfId="41" applyNumberFormat="1" applyFont="1" applyFill="1" applyAlignment="1">
      <alignment horizontal="center" vertical="center"/>
    </xf>
    <xf numFmtId="0" fontId="77" fillId="34" borderId="10" xfId="0" applyFont="1" applyFill="1" applyBorder="1" applyAlignment="1">
      <alignment vertical="center"/>
    </xf>
    <xf numFmtId="0" fontId="81" fillId="34" borderId="10" xfId="0" applyFont="1" applyFill="1" applyBorder="1" applyAlignment="1">
      <alignment horizontal="center" vertical="center" wrapText="1"/>
    </xf>
    <xf numFmtId="172" fontId="77" fillId="34" borderId="10" xfId="41" applyNumberFormat="1" applyFont="1" applyFill="1" applyBorder="1" applyAlignment="1">
      <alignment vertical="center" wrapText="1"/>
    </xf>
    <xf numFmtId="0" fontId="81" fillId="34" borderId="10" xfId="0" applyFont="1" applyFill="1" applyBorder="1" applyAlignment="1" quotePrefix="1">
      <alignment horizontal="center" vertical="center" wrapText="1"/>
    </xf>
    <xf numFmtId="0" fontId="78" fillId="34" borderId="0" xfId="0" applyFont="1" applyFill="1" applyAlignment="1">
      <alignment horizontal="left" vertical="center"/>
    </xf>
    <xf numFmtId="0" fontId="78" fillId="34" borderId="0" xfId="0" applyFont="1" applyFill="1" applyAlignment="1">
      <alignment horizontal="center" vertical="center" wrapText="1"/>
    </xf>
    <xf numFmtId="172" fontId="78" fillId="34" borderId="0" xfId="41" applyNumberFormat="1" applyFont="1" applyFill="1" applyAlignment="1">
      <alignment horizontal="center" vertical="center" wrapText="1"/>
    </xf>
    <xf numFmtId="172" fontId="16" fillId="35" borderId="0" xfId="41" applyNumberFormat="1" applyFont="1" applyFill="1" applyAlignment="1">
      <alignment horizontal="center" vertical="center"/>
    </xf>
    <xf numFmtId="172" fontId="16" fillId="35" borderId="0" xfId="41" applyNumberFormat="1" applyFont="1" applyFill="1" applyAlignment="1">
      <alignment horizontal="center" vertical="center" wrapText="1"/>
    </xf>
    <xf numFmtId="172" fontId="9" fillId="35" borderId="10" xfId="41" applyNumberFormat="1" applyFont="1" applyFill="1" applyBorder="1" applyAlignment="1">
      <alignment horizontal="center" vertical="center"/>
    </xf>
    <xf numFmtId="172" fontId="9" fillId="35" borderId="10" xfId="41" applyNumberFormat="1" applyFont="1" applyFill="1" applyBorder="1" applyAlignment="1">
      <alignment horizontal="center" vertical="center" wrapText="1"/>
    </xf>
    <xf numFmtId="0" fontId="11" fillId="35" borderId="10" xfId="0" applyFont="1" applyFill="1" applyBorder="1" applyAlignment="1">
      <alignment horizontal="center" vertical="center"/>
    </xf>
    <xf numFmtId="172" fontId="12" fillId="35" borderId="10" xfId="41" applyNumberFormat="1" applyFont="1" applyFill="1" applyBorder="1" applyAlignment="1">
      <alignment horizontal="center" vertical="center" wrapText="1"/>
    </xf>
    <xf numFmtId="172" fontId="12" fillId="35" borderId="10" xfId="41" applyNumberFormat="1" applyFont="1" applyFill="1" applyBorder="1" applyAlignment="1">
      <alignment horizontal="center" vertical="center"/>
    </xf>
    <xf numFmtId="172" fontId="9" fillId="35" borderId="0" xfId="41" applyNumberFormat="1" applyFont="1" applyFill="1" applyAlignment="1">
      <alignment horizontal="center" vertical="center"/>
    </xf>
    <xf numFmtId="0" fontId="78" fillId="34" borderId="10" xfId="0" applyFont="1" applyFill="1" applyBorder="1" applyAlignment="1">
      <alignment horizontal="left" vertical="center" wrapText="1"/>
    </xf>
    <xf numFmtId="172" fontId="82" fillId="34" borderId="10" xfId="41" applyNumberFormat="1" applyFont="1" applyFill="1" applyBorder="1" applyAlignment="1">
      <alignment horizontal="center" vertical="center"/>
    </xf>
    <xf numFmtId="172" fontId="82" fillId="34" borderId="10" xfId="41" applyNumberFormat="1" applyFont="1" applyFill="1" applyBorder="1" applyAlignment="1">
      <alignment horizontal="center" vertical="center" wrapText="1"/>
    </xf>
    <xf numFmtId="0" fontId="83" fillId="34" borderId="10" xfId="0" applyFont="1" applyFill="1" applyBorder="1" applyAlignment="1">
      <alignment horizontal="center" vertical="center"/>
    </xf>
    <xf numFmtId="172" fontId="84" fillId="34" borderId="10" xfId="41" applyNumberFormat="1" applyFont="1" applyFill="1" applyBorder="1" applyAlignment="1">
      <alignment horizontal="center" vertical="center" wrapText="1"/>
    </xf>
    <xf numFmtId="172" fontId="84" fillId="34" borderId="10" xfId="41" applyNumberFormat="1" applyFont="1" applyFill="1" applyBorder="1" applyAlignment="1">
      <alignment horizontal="center" vertical="center"/>
    </xf>
    <xf numFmtId="0" fontId="84" fillId="34" borderId="10" xfId="0" applyFont="1" applyFill="1" applyBorder="1" applyAlignment="1">
      <alignment horizontal="center" vertical="center" wrapText="1"/>
    </xf>
    <xf numFmtId="172" fontId="82" fillId="34" borderId="10" xfId="41" applyNumberFormat="1" applyFont="1" applyFill="1" applyBorder="1" applyAlignment="1">
      <alignment vertical="center"/>
    </xf>
    <xf numFmtId="171" fontId="82" fillId="34" borderId="10" xfId="41" applyFont="1" applyFill="1" applyBorder="1" applyAlignment="1">
      <alignment horizontal="center" vertical="center"/>
    </xf>
    <xf numFmtId="175" fontId="82" fillId="34" borderId="10" xfId="41" applyNumberFormat="1" applyFont="1" applyFill="1" applyBorder="1" applyAlignment="1">
      <alignment horizontal="center" vertical="center"/>
    </xf>
    <xf numFmtId="172" fontId="82" fillId="34" borderId="10" xfId="41" applyNumberFormat="1" applyFont="1" applyFill="1" applyBorder="1" applyAlignment="1">
      <alignment horizontal="center" vertical="center" wrapText="1"/>
    </xf>
    <xf numFmtId="172" fontId="82" fillId="34" borderId="10" xfId="41" applyNumberFormat="1" applyFont="1" applyFill="1" applyBorder="1" applyAlignment="1">
      <alignment horizontal="center" vertical="center"/>
    </xf>
    <xf numFmtId="172" fontId="84" fillId="34" borderId="10" xfId="41" applyNumberFormat="1" applyFont="1" applyFill="1" applyBorder="1" applyAlignment="1">
      <alignment vertical="center" wrapText="1"/>
    </xf>
    <xf numFmtId="0" fontId="84" fillId="34" borderId="10" xfId="0" applyFont="1" applyFill="1" applyBorder="1" applyAlignment="1">
      <alignment vertical="center" wrapText="1"/>
    </xf>
    <xf numFmtId="172" fontId="82" fillId="34" borderId="0" xfId="41" applyNumberFormat="1" applyFont="1" applyFill="1" applyAlignment="1">
      <alignment horizontal="center" vertical="center" wrapText="1"/>
    </xf>
    <xf numFmtId="172" fontId="82" fillId="34" borderId="0" xfId="41" applyNumberFormat="1" applyFont="1" applyFill="1" applyAlignment="1">
      <alignment horizontal="center" vertical="center"/>
    </xf>
    <xf numFmtId="3" fontId="12" fillId="34" borderId="10" xfId="41" applyNumberFormat="1" applyFont="1" applyFill="1" applyBorder="1" applyAlignment="1">
      <alignment horizontal="right" vertical="center" wrapText="1"/>
    </xf>
    <xf numFmtId="0" fontId="6" fillId="34" borderId="10" xfId="59" applyFont="1" applyFill="1" applyBorder="1" applyAlignment="1">
      <alignment horizontal="center" vertical="center" wrapText="1"/>
      <protection/>
    </xf>
    <xf numFmtId="0" fontId="6" fillId="34" borderId="14"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6" fillId="34" borderId="18" xfId="59" applyFont="1" applyFill="1" applyBorder="1" applyAlignment="1">
      <alignment horizontal="center" vertical="center" wrapText="1"/>
      <protection/>
    </xf>
    <xf numFmtId="0" fontId="6" fillId="34" borderId="19" xfId="59" applyFont="1" applyFill="1" applyBorder="1" applyAlignment="1">
      <alignment horizontal="center" vertical="center" wrapText="1"/>
      <protection/>
    </xf>
    <xf numFmtId="0" fontId="6" fillId="34" borderId="20" xfId="59" applyFont="1" applyFill="1" applyBorder="1" applyAlignment="1">
      <alignment horizontal="center" vertical="center" wrapText="1"/>
      <protection/>
    </xf>
    <xf numFmtId="0" fontId="6" fillId="34" borderId="0" xfId="59" applyFont="1" applyFill="1" applyAlignment="1">
      <alignment horizontal="right" vertical="center"/>
      <protection/>
    </xf>
    <xf numFmtId="0" fontId="6" fillId="34" borderId="0" xfId="59" applyFont="1" applyFill="1" applyBorder="1" applyAlignment="1">
      <alignment horizontal="center" vertical="center"/>
      <protection/>
    </xf>
    <xf numFmtId="0" fontId="14" fillId="34" borderId="0" xfId="59" applyFont="1" applyFill="1" applyBorder="1" applyAlignment="1">
      <alignment horizontal="center" vertical="center"/>
      <protection/>
    </xf>
    <xf numFmtId="0" fontId="15" fillId="34" borderId="0" xfId="59" applyFont="1" applyFill="1" applyBorder="1" applyAlignment="1">
      <alignment horizontal="center" vertical="center"/>
      <protection/>
    </xf>
    <xf numFmtId="0" fontId="7" fillId="34" borderId="0" xfId="59" applyFont="1" applyFill="1" applyBorder="1" applyAlignment="1">
      <alignment horizontal="center" vertical="center"/>
      <protection/>
    </xf>
    <xf numFmtId="0" fontId="5" fillId="34" borderId="21" xfId="59" applyFont="1" applyFill="1" applyBorder="1" applyAlignment="1">
      <alignment horizontal="right" vertical="center"/>
      <protection/>
    </xf>
    <xf numFmtId="0" fontId="5" fillId="34" borderId="0" xfId="59" applyFont="1" applyFill="1" applyBorder="1" applyAlignment="1">
      <alignment horizontal="center" vertical="center"/>
      <protection/>
    </xf>
    <xf numFmtId="0" fontId="6" fillId="34" borderId="15" xfId="59" applyFont="1" applyFill="1" applyBorder="1" applyAlignment="1">
      <alignment horizontal="center" vertical="center" wrapText="1"/>
      <protection/>
    </xf>
    <xf numFmtId="0" fontId="78" fillId="34" borderId="18" xfId="0" applyFont="1" applyFill="1" applyBorder="1" applyAlignment="1">
      <alignment horizontal="center" vertical="center"/>
    </xf>
    <xf numFmtId="0" fontId="78" fillId="34" borderId="20" xfId="0" applyFont="1" applyFill="1" applyBorder="1" applyAlignment="1">
      <alignment horizontal="center" vertical="center"/>
    </xf>
    <xf numFmtId="0" fontId="85" fillId="34" borderId="0" xfId="0" applyFont="1" applyFill="1" applyAlignment="1">
      <alignment horizontal="center" vertical="center" wrapText="1"/>
    </xf>
    <xf numFmtId="172" fontId="78" fillId="34" borderId="18" xfId="41" applyNumberFormat="1" applyFont="1" applyFill="1" applyBorder="1" applyAlignment="1">
      <alignment horizontal="center" vertical="center"/>
    </xf>
    <xf numFmtId="172" fontId="78" fillId="34" borderId="20" xfId="41" applyNumberFormat="1" applyFont="1" applyFill="1" applyBorder="1" applyAlignment="1">
      <alignment horizontal="center" vertical="center"/>
    </xf>
    <xf numFmtId="0" fontId="78" fillId="34" borderId="14" xfId="0" applyFont="1" applyFill="1" applyBorder="1" applyAlignment="1">
      <alignment horizontal="center" vertical="center" wrapText="1"/>
    </xf>
    <xf numFmtId="0" fontId="78" fillId="34"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172" fontId="78" fillId="34" borderId="18" xfId="41" applyNumberFormat="1" applyFont="1" applyFill="1" applyBorder="1" applyAlignment="1">
      <alignment horizontal="center" vertical="center" wrapText="1"/>
    </xf>
    <xf numFmtId="172" fontId="78" fillId="34" borderId="20" xfId="41" applyNumberFormat="1" applyFont="1" applyFill="1" applyBorder="1" applyAlignment="1">
      <alignment horizontal="center" vertical="center" wrapText="1"/>
    </xf>
    <xf numFmtId="172" fontId="78" fillId="34" borderId="14" xfId="41" applyNumberFormat="1" applyFont="1" applyFill="1" applyBorder="1" applyAlignment="1">
      <alignment horizontal="center" vertical="center" wrapText="1"/>
    </xf>
    <xf numFmtId="172" fontId="78" fillId="34" borderId="15" xfId="41" applyNumberFormat="1" applyFont="1" applyFill="1" applyBorder="1" applyAlignment="1">
      <alignment horizontal="center" vertical="center" wrapText="1"/>
    </xf>
    <xf numFmtId="172" fontId="78" fillId="34" borderId="16" xfId="41" applyNumberFormat="1" applyFont="1" applyFill="1" applyBorder="1" applyAlignment="1">
      <alignment horizontal="center" vertical="center" wrapText="1"/>
    </xf>
    <xf numFmtId="0" fontId="78" fillId="34" borderId="14"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16" xfId="0" applyFont="1" applyFill="1" applyBorder="1" applyAlignment="1">
      <alignment horizontal="center" vertical="center"/>
    </xf>
    <xf numFmtId="172" fontId="77" fillId="34" borderId="0" xfId="0" applyNumberFormat="1" applyFont="1" applyFill="1" applyBorder="1" applyAlignment="1">
      <alignment horizontal="center" vertical="center" wrapText="1"/>
    </xf>
    <xf numFmtId="0" fontId="77" fillId="34" borderId="0" xfId="0" applyFont="1" applyFill="1" applyAlignment="1">
      <alignment horizontal="center" vertical="center" wrapText="1"/>
    </xf>
    <xf numFmtId="172" fontId="82" fillId="34" borderId="14" xfId="41" applyNumberFormat="1" applyFont="1" applyFill="1" applyBorder="1" applyAlignment="1">
      <alignment horizontal="center" vertical="center" wrapText="1"/>
    </xf>
    <xf numFmtId="172" fontId="82" fillId="34" borderId="16" xfId="41" applyNumberFormat="1" applyFont="1" applyFill="1" applyBorder="1" applyAlignment="1">
      <alignment horizontal="center" vertical="center" wrapText="1"/>
    </xf>
    <xf numFmtId="172" fontId="82" fillId="34" borderId="18" xfId="41" applyNumberFormat="1" applyFont="1" applyFill="1" applyBorder="1" applyAlignment="1">
      <alignment horizontal="center" vertical="center"/>
    </xf>
    <xf numFmtId="172" fontId="82" fillId="34" borderId="20" xfId="41" applyNumberFormat="1" applyFont="1" applyFill="1" applyBorder="1" applyAlignment="1">
      <alignment horizontal="center" vertical="center"/>
    </xf>
    <xf numFmtId="172" fontId="78" fillId="34" borderId="19" xfId="41" applyNumberFormat="1" applyFont="1" applyFill="1" applyBorder="1" applyAlignment="1">
      <alignment horizontal="center" vertical="center" wrapText="1"/>
    </xf>
    <xf numFmtId="0" fontId="86" fillId="34" borderId="0" xfId="0" applyFont="1" applyFill="1" applyAlignment="1">
      <alignment horizontal="center" vertical="center" wrapText="1"/>
    </xf>
    <xf numFmtId="0" fontId="85" fillId="34" borderId="21" xfId="0" applyFont="1" applyFill="1" applyBorder="1" applyAlignment="1">
      <alignment horizontal="right" vertical="center" wrapText="1"/>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16" xfId="0" applyFont="1" applyFill="1" applyBorder="1" applyAlignment="1">
      <alignment horizontal="center" vertical="center" wrapText="1"/>
    </xf>
    <xf numFmtId="0" fontId="87" fillId="34" borderId="0" xfId="59" applyFont="1" applyFill="1" applyAlignment="1">
      <alignment horizontal="right" vertical="center"/>
      <protection/>
    </xf>
    <xf numFmtId="172" fontId="82" fillId="34" borderId="18" xfId="41" applyNumberFormat="1" applyFont="1" applyFill="1" applyBorder="1" applyAlignment="1">
      <alignment horizontal="center" vertical="center" wrapText="1"/>
    </xf>
    <xf numFmtId="172" fontId="82" fillId="34" borderId="19" xfId="41" applyNumberFormat="1" applyFont="1" applyFill="1" applyBorder="1" applyAlignment="1">
      <alignment horizontal="center" vertical="center" wrapText="1"/>
    </xf>
    <xf numFmtId="172" fontId="82" fillId="34" borderId="2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wrapText="1"/>
    </xf>
    <xf numFmtId="172" fontId="9" fillId="34" borderId="10" xfId="41" applyNumberFormat="1" applyFont="1" applyFill="1" applyBorder="1" applyAlignment="1">
      <alignment horizontal="center" vertical="center"/>
    </xf>
    <xf numFmtId="0" fontId="14" fillId="34" borderId="0" xfId="0" applyFont="1" applyFill="1" applyAlignment="1">
      <alignment horizontal="center" vertical="center" wrapText="1"/>
    </xf>
    <xf numFmtId="0" fontId="15" fillId="34" borderId="0" xfId="0" applyFont="1" applyFill="1" applyAlignment="1">
      <alignment horizontal="center" vertical="center" wrapText="1"/>
    </xf>
    <xf numFmtId="172" fontId="9" fillId="35" borderId="10" xfId="41" applyNumberFormat="1" applyFont="1" applyFill="1" applyBorder="1" applyAlignment="1">
      <alignment horizontal="center" vertical="center" wrapText="1"/>
    </xf>
    <xf numFmtId="0" fontId="9" fillId="34" borderId="10" xfId="0" applyFont="1" applyFill="1" applyBorder="1" applyAlignment="1">
      <alignment horizontal="center" vertical="center"/>
    </xf>
    <xf numFmtId="172" fontId="9" fillId="35" borderId="10" xfId="41"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16" fillId="34" borderId="0" xfId="0" applyFont="1" applyFill="1" applyAlignment="1">
      <alignment horizontal="right" vertical="center"/>
    </xf>
    <xf numFmtId="0" fontId="16" fillId="34" borderId="0" xfId="0" applyFont="1" applyFill="1" applyAlignment="1">
      <alignment horizontal="center" vertical="center" wrapText="1"/>
    </xf>
    <xf numFmtId="0" fontId="14" fillId="34" borderId="0" xfId="0" applyFont="1" applyFill="1" applyBorder="1" applyAlignment="1">
      <alignment horizontal="right" vertical="center" wrapText="1"/>
    </xf>
    <xf numFmtId="0" fontId="76" fillId="0" borderId="0" xfId="0" applyFont="1" applyFill="1" applyAlignment="1">
      <alignment horizontal="center" vertical="center"/>
    </xf>
    <xf numFmtId="172" fontId="74" fillId="0" borderId="10" xfId="41" applyNumberFormat="1" applyFont="1" applyFill="1" applyBorder="1" applyAlignment="1">
      <alignment horizontal="center" vertical="center"/>
    </xf>
    <xf numFmtId="172" fontId="74" fillId="0" borderId="10" xfId="41" applyNumberFormat="1" applyFont="1" applyFill="1" applyBorder="1" applyAlignment="1">
      <alignment horizontal="center" vertical="center" wrapText="1"/>
    </xf>
    <xf numFmtId="172" fontId="74" fillId="0" borderId="14" xfId="41" applyNumberFormat="1" applyFont="1" applyFill="1" applyBorder="1" applyAlignment="1">
      <alignment horizontal="center" vertical="center"/>
    </xf>
    <xf numFmtId="172" fontId="74" fillId="0" borderId="16" xfId="41" applyNumberFormat="1" applyFont="1" applyFill="1" applyBorder="1" applyAlignment="1">
      <alignment horizontal="center" vertical="center"/>
    </xf>
    <xf numFmtId="0" fontId="74" fillId="0" borderId="10" xfId="0" applyFont="1" applyFill="1" applyBorder="1" applyAlignment="1">
      <alignment horizontal="center" vertical="center"/>
    </xf>
    <xf numFmtId="0" fontId="76" fillId="0" borderId="0" xfId="0" applyFont="1" applyFill="1" applyAlignment="1">
      <alignment horizontal="center" vertical="center" wrapText="1"/>
    </xf>
    <xf numFmtId="172" fontId="74" fillId="0" borderId="18" xfId="41" applyNumberFormat="1" applyFont="1" applyFill="1" applyBorder="1" applyAlignment="1">
      <alignment horizontal="center" vertical="center" wrapText="1"/>
    </xf>
    <xf numFmtId="172" fontId="74" fillId="0" borderId="20" xfId="41" applyNumberFormat="1" applyFont="1" applyFill="1" applyBorder="1" applyAlignment="1">
      <alignment horizontal="center" vertical="center" wrapText="1"/>
    </xf>
    <xf numFmtId="0" fontId="88" fillId="0" borderId="0" xfId="0" applyFont="1" applyFill="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88" fillId="0" borderId="21" xfId="0" applyFont="1" applyFill="1" applyBorder="1" applyAlignment="1">
      <alignment horizontal="right" vertical="center" wrapText="1"/>
    </xf>
    <xf numFmtId="172" fontId="74" fillId="0" borderId="19" xfId="41" applyNumberFormat="1" applyFont="1" applyFill="1" applyBorder="1" applyAlignment="1">
      <alignment horizontal="center" vertical="center" wrapText="1"/>
    </xf>
    <xf numFmtId="172" fontId="74" fillId="0" borderId="18" xfId="41" applyNumberFormat="1" applyFont="1" applyFill="1" applyBorder="1" applyAlignment="1">
      <alignment horizontal="center" vertical="center"/>
    </xf>
    <xf numFmtId="172" fontId="74" fillId="0" borderId="19" xfId="41" applyNumberFormat="1" applyFont="1" applyFill="1" applyBorder="1" applyAlignment="1">
      <alignment horizontal="center" vertical="center"/>
    </xf>
    <xf numFmtId="172" fontId="74" fillId="0" borderId="20" xfId="41" applyNumberFormat="1" applyFont="1" applyFill="1" applyBorder="1" applyAlignment="1">
      <alignment horizontal="center" vertical="center"/>
    </xf>
    <xf numFmtId="0" fontId="88" fillId="0" borderId="0" xfId="0" applyFont="1" applyFill="1" applyAlignment="1">
      <alignment horizontal="right" vertical="center"/>
    </xf>
    <xf numFmtId="0" fontId="74" fillId="0" borderId="0" xfId="0"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432;&#417;ng%20tr&#236;nh%20m&#7909;c%20ti&#234;u%202016-2020.ng&#224;y%2010-6-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432;&#417;ng%20tr&#236;nh%20m&#7909;c%20ti&#234;u%202016-2020%20ng&#224;y%2028-8-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3">
          <cell r="T13">
            <v>40233.82</v>
          </cell>
        </row>
      </sheetData>
      <sheetData sheetId="1">
        <row r="13">
          <cell r="P13">
            <v>13789</v>
          </cell>
        </row>
        <row r="28">
          <cell r="P28">
            <v>75091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TM"/>
      <sheetName val="GNBV"/>
    </sheetNames>
    <sheetDataSet>
      <sheetData sheetId="0">
        <row r="14">
          <cell r="BO14">
            <v>55780</v>
          </cell>
        </row>
      </sheetData>
      <sheetData sheetId="1">
        <row r="14">
          <cell r="BB14">
            <v>15134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Y37"/>
  <sheetViews>
    <sheetView zoomScale="70" zoomScaleNormal="70" zoomScalePageLayoutView="0" workbookViewId="0" topLeftCell="A2">
      <selection activeCell="I12" sqref="I12:S34"/>
    </sheetView>
  </sheetViews>
  <sheetFormatPr defaultColWidth="8.88671875" defaultRowHeight="37.5" customHeight="1"/>
  <cols>
    <col min="1" max="1" width="3.3359375" style="84" bestFit="1" customWidth="1"/>
    <col min="2" max="2" width="14.6640625" style="68" customWidth="1"/>
    <col min="3" max="3" width="8.3359375" style="68" hidden="1" customWidth="1"/>
    <col min="4" max="4" width="8.5546875" style="68" hidden="1" customWidth="1"/>
    <col min="5" max="5" width="8.10546875" style="68" hidden="1" customWidth="1"/>
    <col min="6" max="6" width="8.3359375" style="68" hidden="1" customWidth="1"/>
    <col min="7" max="7" width="8.5546875" style="68" hidden="1" customWidth="1"/>
    <col min="8" max="8" width="8.10546875" style="68" hidden="1" customWidth="1"/>
    <col min="9" max="9" width="9.77734375" style="68" customWidth="1"/>
    <col min="10" max="10" width="9.88671875" style="68" customWidth="1"/>
    <col min="11" max="11" width="8.6640625" style="68" customWidth="1"/>
    <col min="12" max="12" width="8.3359375" style="68" customWidth="1"/>
    <col min="13" max="13" width="7.5546875" style="68" customWidth="1"/>
    <col min="14" max="14" width="9.10546875" style="68" customWidth="1"/>
    <col min="15" max="15" width="10.21484375" style="68" customWidth="1"/>
    <col min="16" max="16" width="8.21484375" style="68" bestFit="1" customWidth="1"/>
    <col min="17" max="17" width="8.3359375" style="68" customWidth="1"/>
    <col min="18" max="18" width="7.10546875" style="68" customWidth="1"/>
    <col min="19" max="19" width="9.88671875" style="68" customWidth="1"/>
    <col min="20" max="20" width="7.77734375" style="68" bestFit="1" customWidth="1"/>
    <col min="21" max="16384" width="8.88671875" style="68" customWidth="1"/>
  </cols>
  <sheetData>
    <row r="1" spans="1:20" ht="16.5">
      <c r="A1" s="67"/>
      <c r="Q1" s="188" t="s">
        <v>288</v>
      </c>
      <c r="R1" s="188"/>
      <c r="S1" s="188"/>
      <c r="T1" s="188"/>
    </row>
    <row r="2" spans="1:20" ht="16.5">
      <c r="A2" s="189" t="s">
        <v>143</v>
      </c>
      <c r="B2" s="189"/>
      <c r="C2" s="189"/>
      <c r="D2" s="189"/>
      <c r="E2" s="189"/>
      <c r="F2" s="189"/>
      <c r="G2" s="189"/>
      <c r="H2" s="189"/>
      <c r="I2" s="189"/>
      <c r="J2" s="189"/>
      <c r="K2" s="189"/>
      <c r="L2" s="189"/>
      <c r="M2" s="189"/>
      <c r="N2" s="189"/>
      <c r="O2" s="189"/>
      <c r="P2" s="189"/>
      <c r="Q2" s="189"/>
      <c r="R2" s="189"/>
      <c r="S2" s="189"/>
      <c r="T2" s="189"/>
    </row>
    <row r="3" spans="1:20" ht="18.75">
      <c r="A3" s="190" t="s">
        <v>267</v>
      </c>
      <c r="B3" s="191"/>
      <c r="C3" s="191"/>
      <c r="D3" s="191"/>
      <c r="E3" s="191"/>
      <c r="F3" s="191"/>
      <c r="G3" s="191"/>
      <c r="H3" s="191"/>
      <c r="I3" s="191"/>
      <c r="J3" s="191"/>
      <c r="K3" s="191"/>
      <c r="L3" s="191"/>
      <c r="M3" s="191"/>
      <c r="N3" s="191"/>
      <c r="O3" s="191"/>
      <c r="P3" s="191"/>
      <c r="Q3" s="191"/>
      <c r="R3" s="191"/>
      <c r="S3" s="191"/>
      <c r="T3" s="191"/>
    </row>
    <row r="4" spans="1:20" ht="17.25" hidden="1">
      <c r="A4" s="192" t="s">
        <v>234</v>
      </c>
      <c r="B4" s="192"/>
      <c r="C4" s="192"/>
      <c r="D4" s="192"/>
      <c r="E4" s="192"/>
      <c r="F4" s="192"/>
      <c r="G4" s="192"/>
      <c r="H4" s="192"/>
      <c r="I4" s="192"/>
      <c r="J4" s="192"/>
      <c r="K4" s="192"/>
      <c r="L4" s="192"/>
      <c r="M4" s="192"/>
      <c r="N4" s="192"/>
      <c r="O4" s="192"/>
      <c r="P4" s="192"/>
      <c r="Q4" s="192"/>
      <c r="R4" s="192"/>
      <c r="S4" s="192"/>
      <c r="T4" s="192"/>
    </row>
    <row r="5" spans="1:20" ht="16.5">
      <c r="A5" s="99"/>
      <c r="B5" s="99"/>
      <c r="C5" s="99"/>
      <c r="D5" s="99"/>
      <c r="E5" s="99"/>
      <c r="F5" s="99"/>
      <c r="G5" s="99"/>
      <c r="H5" s="99"/>
      <c r="I5" s="99"/>
      <c r="J5" s="99"/>
      <c r="K5" s="99"/>
      <c r="L5" s="99"/>
      <c r="M5" s="99"/>
      <c r="N5" s="193" t="s">
        <v>4</v>
      </c>
      <c r="O5" s="193"/>
      <c r="P5" s="193"/>
      <c r="Q5" s="193"/>
      <c r="R5" s="193"/>
      <c r="S5" s="193"/>
      <c r="T5" s="193"/>
    </row>
    <row r="6" spans="1:20" ht="90" customHeight="1">
      <c r="A6" s="182" t="s">
        <v>0</v>
      </c>
      <c r="B6" s="182" t="s">
        <v>1</v>
      </c>
      <c r="C6" s="182" t="s">
        <v>246</v>
      </c>
      <c r="D6" s="182"/>
      <c r="E6" s="182"/>
      <c r="F6" s="185" t="s">
        <v>247</v>
      </c>
      <c r="G6" s="186"/>
      <c r="H6" s="187"/>
      <c r="I6" s="185" t="s">
        <v>123</v>
      </c>
      <c r="J6" s="186"/>
      <c r="K6" s="186"/>
      <c r="L6" s="186"/>
      <c r="M6" s="186"/>
      <c r="N6" s="186"/>
      <c r="O6" s="186"/>
      <c r="P6" s="186"/>
      <c r="Q6" s="186"/>
      <c r="R6" s="186"/>
      <c r="S6" s="182" t="s">
        <v>270</v>
      </c>
      <c r="T6" s="182" t="s">
        <v>19</v>
      </c>
    </row>
    <row r="7" spans="1:20" ht="37.5" customHeight="1">
      <c r="A7" s="182"/>
      <c r="B7" s="182"/>
      <c r="C7" s="182" t="s">
        <v>17</v>
      </c>
      <c r="D7" s="182" t="s">
        <v>124</v>
      </c>
      <c r="E7" s="182"/>
      <c r="F7" s="182" t="s">
        <v>17</v>
      </c>
      <c r="G7" s="182" t="s">
        <v>124</v>
      </c>
      <c r="H7" s="182"/>
      <c r="I7" s="182" t="s">
        <v>269</v>
      </c>
      <c r="J7" s="182"/>
      <c r="K7" s="182"/>
      <c r="L7" s="182"/>
      <c r="M7" s="182"/>
      <c r="N7" s="182" t="s">
        <v>122</v>
      </c>
      <c r="O7" s="182"/>
      <c r="P7" s="182"/>
      <c r="Q7" s="182"/>
      <c r="R7" s="185"/>
      <c r="S7" s="182"/>
      <c r="T7" s="182"/>
    </row>
    <row r="8" spans="1:20" ht="16.5">
      <c r="A8" s="182"/>
      <c r="B8" s="182"/>
      <c r="C8" s="182"/>
      <c r="D8" s="182" t="s">
        <v>2</v>
      </c>
      <c r="E8" s="182" t="s">
        <v>3</v>
      </c>
      <c r="F8" s="182"/>
      <c r="G8" s="182" t="s">
        <v>2</v>
      </c>
      <c r="H8" s="182" t="s">
        <v>3</v>
      </c>
      <c r="I8" s="182" t="s">
        <v>17</v>
      </c>
      <c r="J8" s="182" t="s">
        <v>124</v>
      </c>
      <c r="K8" s="182"/>
      <c r="L8" s="182"/>
      <c r="M8" s="182"/>
      <c r="N8" s="182" t="s">
        <v>17</v>
      </c>
      <c r="O8" s="185" t="s">
        <v>124</v>
      </c>
      <c r="P8" s="186"/>
      <c r="Q8" s="186"/>
      <c r="R8" s="186"/>
      <c r="S8" s="182"/>
      <c r="T8" s="182"/>
    </row>
    <row r="9" spans="1:20" ht="16.5">
      <c r="A9" s="182"/>
      <c r="B9" s="182"/>
      <c r="C9" s="182"/>
      <c r="D9" s="182"/>
      <c r="E9" s="182"/>
      <c r="F9" s="182"/>
      <c r="G9" s="182"/>
      <c r="H9" s="182"/>
      <c r="I9" s="182"/>
      <c r="J9" s="182" t="s">
        <v>2</v>
      </c>
      <c r="K9" s="182" t="s">
        <v>124</v>
      </c>
      <c r="L9" s="182"/>
      <c r="M9" s="182" t="s">
        <v>3</v>
      </c>
      <c r="N9" s="182"/>
      <c r="O9" s="183" t="s">
        <v>2</v>
      </c>
      <c r="P9" s="182" t="s">
        <v>124</v>
      </c>
      <c r="Q9" s="182"/>
      <c r="R9" s="185" t="s">
        <v>3</v>
      </c>
      <c r="S9" s="182"/>
      <c r="T9" s="182"/>
    </row>
    <row r="10" spans="1:20" ht="82.5">
      <c r="A10" s="182"/>
      <c r="B10" s="182"/>
      <c r="C10" s="182"/>
      <c r="D10" s="182"/>
      <c r="E10" s="182"/>
      <c r="F10" s="182"/>
      <c r="G10" s="182"/>
      <c r="H10" s="182"/>
      <c r="I10" s="182"/>
      <c r="J10" s="182"/>
      <c r="K10" s="98" t="s">
        <v>125</v>
      </c>
      <c r="L10" s="98" t="s">
        <v>126</v>
      </c>
      <c r="M10" s="182"/>
      <c r="N10" s="182"/>
      <c r="O10" s="184"/>
      <c r="P10" s="98" t="s">
        <v>125</v>
      </c>
      <c r="Q10" s="98" t="s">
        <v>126</v>
      </c>
      <c r="R10" s="185"/>
      <c r="S10" s="182"/>
      <c r="T10" s="182"/>
    </row>
    <row r="11" spans="1:20" s="81" customFormat="1" ht="17.25">
      <c r="A11" s="71">
        <v>1</v>
      </c>
      <c r="B11" s="71">
        <v>2</v>
      </c>
      <c r="C11" s="71">
        <v>3</v>
      </c>
      <c r="D11" s="71">
        <v>4</v>
      </c>
      <c r="E11" s="71">
        <v>5</v>
      </c>
      <c r="F11" s="71">
        <v>3</v>
      </c>
      <c r="G11" s="71">
        <v>4</v>
      </c>
      <c r="H11" s="71">
        <v>5</v>
      </c>
      <c r="I11" s="71">
        <v>6</v>
      </c>
      <c r="J11" s="71">
        <v>7</v>
      </c>
      <c r="K11" s="71"/>
      <c r="L11" s="71"/>
      <c r="M11" s="71">
        <v>8</v>
      </c>
      <c r="N11" s="71">
        <v>9</v>
      </c>
      <c r="O11" s="71">
        <v>10</v>
      </c>
      <c r="P11" s="71">
        <v>11</v>
      </c>
      <c r="Q11" s="71">
        <v>12</v>
      </c>
      <c r="R11" s="71">
        <v>13</v>
      </c>
      <c r="S11" s="71" t="s">
        <v>127</v>
      </c>
      <c r="T11" s="71">
        <v>15</v>
      </c>
    </row>
    <row r="12" spans="1:20" ht="16.5">
      <c r="A12" s="98"/>
      <c r="B12" s="98" t="s">
        <v>128</v>
      </c>
      <c r="C12" s="72">
        <f aca="true" t="shared" si="0" ref="C12:S12">C13+C32</f>
        <v>175913</v>
      </c>
      <c r="D12" s="72">
        <f t="shared" si="0"/>
        <v>163106</v>
      </c>
      <c r="E12" s="72">
        <f t="shared" si="0"/>
        <v>12807</v>
      </c>
      <c r="F12" s="72">
        <f t="shared" si="0"/>
        <v>285023</v>
      </c>
      <c r="G12" s="72">
        <f t="shared" si="0"/>
        <v>285023</v>
      </c>
      <c r="H12" s="72">
        <f t="shared" si="0"/>
        <v>0</v>
      </c>
      <c r="I12" s="72">
        <f t="shared" si="0"/>
        <v>176561</v>
      </c>
      <c r="J12" s="72">
        <f t="shared" si="0"/>
        <v>163106</v>
      </c>
      <c r="K12" s="72">
        <f t="shared" si="0"/>
        <v>1204</v>
      </c>
      <c r="L12" s="72">
        <f t="shared" si="0"/>
        <v>161902</v>
      </c>
      <c r="M12" s="72">
        <f t="shared" si="0"/>
        <v>13455</v>
      </c>
      <c r="N12" s="72">
        <f>N13+N32</f>
        <v>402826.86801</v>
      </c>
      <c r="O12" s="72">
        <f t="shared" si="0"/>
        <v>412148.47501000005</v>
      </c>
      <c r="P12" s="72">
        <f t="shared" si="0"/>
        <v>1204</v>
      </c>
      <c r="Q12" s="72">
        <f t="shared" si="0"/>
        <v>410944.47501000005</v>
      </c>
      <c r="R12" s="72">
        <f t="shared" si="0"/>
        <v>-8247.607000000004</v>
      </c>
      <c r="S12" s="72">
        <f t="shared" si="0"/>
        <v>226265.86801</v>
      </c>
      <c r="T12" s="98"/>
    </row>
    <row r="13" spans="1:20" s="82" customFormat="1" ht="19.5" customHeight="1">
      <c r="A13" s="98" t="s">
        <v>5</v>
      </c>
      <c r="B13" s="73" t="s">
        <v>129</v>
      </c>
      <c r="C13" s="61">
        <f>C14+C21+C23+C24+C26+C27</f>
        <v>92580</v>
      </c>
      <c r="D13" s="61">
        <f>D14+D21+D23+D24+D26+D27</f>
        <v>88106</v>
      </c>
      <c r="E13" s="61">
        <f>E14+E21+E23+E24+E26+E27</f>
        <v>4474</v>
      </c>
      <c r="F13" s="61">
        <f>F14+F21+F23+F24+F26+F27+F28+F29</f>
        <v>275180</v>
      </c>
      <c r="G13" s="61">
        <f aca="true" t="shared" si="1" ref="G13:S13">G14+G21+G23+G24+G26+G27+G28+G29</f>
        <v>275180</v>
      </c>
      <c r="H13" s="61">
        <f t="shared" si="1"/>
        <v>0</v>
      </c>
      <c r="I13" s="61">
        <f t="shared" si="1"/>
        <v>92580</v>
      </c>
      <c r="J13" s="61">
        <f t="shared" si="1"/>
        <v>88106</v>
      </c>
      <c r="K13" s="61">
        <f t="shared" si="1"/>
        <v>0</v>
      </c>
      <c r="L13" s="61">
        <f t="shared" si="1"/>
        <v>88106</v>
      </c>
      <c r="M13" s="61">
        <f t="shared" si="1"/>
        <v>4474</v>
      </c>
      <c r="N13" s="61">
        <f t="shared" si="1"/>
        <v>193815</v>
      </c>
      <c r="O13" s="61">
        <f t="shared" si="1"/>
        <v>203136.60700000002</v>
      </c>
      <c r="P13" s="61">
        <f t="shared" si="1"/>
        <v>0</v>
      </c>
      <c r="Q13" s="61">
        <f t="shared" si="1"/>
        <v>203136.60700000002</v>
      </c>
      <c r="R13" s="61">
        <f t="shared" si="1"/>
        <v>-8247.607000000004</v>
      </c>
      <c r="S13" s="61">
        <f t="shared" si="1"/>
        <v>101235</v>
      </c>
      <c r="T13" s="74"/>
    </row>
    <row r="14" spans="1:20" ht="20.25" customHeight="1">
      <c r="A14" s="75">
        <v>1</v>
      </c>
      <c r="B14" s="76" t="s">
        <v>130</v>
      </c>
      <c r="C14" s="77">
        <f>SUM(C15:C19)</f>
        <v>74680</v>
      </c>
      <c r="D14" s="77">
        <f>SUM(D15:D19)</f>
        <v>71506</v>
      </c>
      <c r="E14" s="77">
        <f>SUM(E15:E19)</f>
        <v>3174</v>
      </c>
      <c r="F14" s="77">
        <f aca="true" t="shared" si="2" ref="F14:R14">F15+F16+F17+F18+F19+F20</f>
        <v>96866</v>
      </c>
      <c r="G14" s="77">
        <f t="shared" si="2"/>
        <v>96866</v>
      </c>
      <c r="H14" s="77">
        <f t="shared" si="2"/>
        <v>0</v>
      </c>
      <c r="I14" s="77">
        <f t="shared" si="2"/>
        <v>74680</v>
      </c>
      <c r="J14" s="77">
        <f t="shared" si="2"/>
        <v>71506</v>
      </c>
      <c r="K14" s="77">
        <f t="shared" si="2"/>
        <v>0</v>
      </c>
      <c r="L14" s="77">
        <f t="shared" si="2"/>
        <v>71506</v>
      </c>
      <c r="M14" s="77">
        <f t="shared" si="2"/>
        <v>3174</v>
      </c>
      <c r="N14" s="77">
        <f>N15+N16+N17+N18+N19+N20</f>
        <v>96866</v>
      </c>
      <c r="O14" s="77">
        <f t="shared" si="2"/>
        <v>96866</v>
      </c>
      <c r="P14" s="77">
        <f t="shared" si="2"/>
        <v>0</v>
      </c>
      <c r="Q14" s="77">
        <f t="shared" si="2"/>
        <v>96866</v>
      </c>
      <c r="R14" s="77">
        <f t="shared" si="2"/>
        <v>0</v>
      </c>
      <c r="S14" s="80">
        <f aca="true" t="shared" si="3" ref="S14:S34">N14-I14</f>
        <v>22186</v>
      </c>
      <c r="T14" s="78"/>
    </row>
    <row r="15" spans="1:20" ht="99" hidden="1">
      <c r="A15" s="75" t="s">
        <v>23</v>
      </c>
      <c r="B15" s="76" t="s">
        <v>131</v>
      </c>
      <c r="C15" s="77">
        <v>31740</v>
      </c>
      <c r="D15" s="77">
        <f>C15*0.9</f>
        <v>28566</v>
      </c>
      <c r="E15" s="77">
        <f>C15-D15</f>
        <v>3174</v>
      </c>
      <c r="F15" s="77">
        <v>31740</v>
      </c>
      <c r="G15" s="77">
        <f>O15</f>
        <v>31740</v>
      </c>
      <c r="H15" s="77">
        <f>F15-G15</f>
        <v>0</v>
      </c>
      <c r="I15" s="77">
        <f>J15+M15</f>
        <v>31740</v>
      </c>
      <c r="J15" s="77">
        <f>L15</f>
        <v>28566</v>
      </c>
      <c r="K15" s="77"/>
      <c r="L15" s="77">
        <v>28566</v>
      </c>
      <c r="M15" s="77">
        <v>3174</v>
      </c>
      <c r="N15" s="77">
        <f>O15+R15</f>
        <v>31740</v>
      </c>
      <c r="O15" s="77">
        <f>'Biểu số 02.'!O14</f>
        <v>31740</v>
      </c>
      <c r="P15" s="77"/>
      <c r="Q15" s="77">
        <f>O15</f>
        <v>31740</v>
      </c>
      <c r="R15" s="77">
        <v>0</v>
      </c>
      <c r="S15" s="80">
        <f t="shared" si="3"/>
        <v>0</v>
      </c>
      <c r="T15" s="78"/>
    </row>
    <row r="16" spans="1:20" ht="21.75" customHeight="1" hidden="1">
      <c r="A16" s="75" t="s">
        <v>23</v>
      </c>
      <c r="B16" s="76" t="s">
        <v>80</v>
      </c>
      <c r="C16" s="77">
        <v>15000</v>
      </c>
      <c r="D16" s="77">
        <v>15000</v>
      </c>
      <c r="E16" s="77"/>
      <c r="F16" s="77">
        <v>15000</v>
      </c>
      <c r="G16" s="77">
        <v>15000</v>
      </c>
      <c r="H16" s="77"/>
      <c r="I16" s="77">
        <v>15000</v>
      </c>
      <c r="J16" s="77">
        <f>L16</f>
        <v>15000</v>
      </c>
      <c r="K16" s="77"/>
      <c r="L16" s="77">
        <v>15000</v>
      </c>
      <c r="M16" s="77">
        <f>I16-J16</f>
        <v>0</v>
      </c>
      <c r="N16" s="77">
        <f>O16+R16</f>
        <v>14999.999999999998</v>
      </c>
      <c r="O16" s="77">
        <f>'Biểu số 02.'!O45</f>
        <v>14999.999999999998</v>
      </c>
      <c r="P16" s="77"/>
      <c r="Q16" s="77">
        <f aca="true" t="shared" si="4" ref="Q16:Q27">O16</f>
        <v>14999.999999999998</v>
      </c>
      <c r="R16" s="77">
        <v>0</v>
      </c>
      <c r="S16" s="80">
        <f t="shared" si="3"/>
        <v>0</v>
      </c>
      <c r="T16" s="78"/>
    </row>
    <row r="17" spans="1:20" ht="22.5" customHeight="1" hidden="1">
      <c r="A17" s="75" t="s">
        <v>23</v>
      </c>
      <c r="B17" s="76" t="s">
        <v>132</v>
      </c>
      <c r="C17" s="77">
        <v>2100</v>
      </c>
      <c r="D17" s="77">
        <v>2100</v>
      </c>
      <c r="E17" s="77"/>
      <c r="F17" s="77">
        <v>1685</v>
      </c>
      <c r="G17" s="77">
        <v>1685</v>
      </c>
      <c r="H17" s="77"/>
      <c r="I17" s="77">
        <v>2100</v>
      </c>
      <c r="J17" s="77">
        <f>L17</f>
        <v>2100</v>
      </c>
      <c r="K17" s="77"/>
      <c r="L17" s="77">
        <v>2100</v>
      </c>
      <c r="M17" s="77">
        <f>I17-J17</f>
        <v>0</v>
      </c>
      <c r="N17" s="77">
        <f>O17</f>
        <v>1685</v>
      </c>
      <c r="O17" s="77">
        <f>'Biểu số 02.'!O69</f>
        <v>1685</v>
      </c>
      <c r="P17" s="77"/>
      <c r="Q17" s="77">
        <f t="shared" si="4"/>
        <v>1685</v>
      </c>
      <c r="R17" s="77">
        <f aca="true" t="shared" si="5" ref="R17:R26">N17-O17</f>
        <v>0</v>
      </c>
      <c r="S17" s="80">
        <f t="shared" si="3"/>
        <v>-415</v>
      </c>
      <c r="T17" s="78"/>
    </row>
    <row r="18" spans="1:20" ht="34.5" customHeight="1" hidden="1">
      <c r="A18" s="75" t="s">
        <v>23</v>
      </c>
      <c r="B18" s="76" t="s">
        <v>133</v>
      </c>
      <c r="C18" s="77">
        <v>5840</v>
      </c>
      <c r="D18" s="77">
        <v>5840</v>
      </c>
      <c r="E18" s="77"/>
      <c r="F18" s="77">
        <v>5840</v>
      </c>
      <c r="G18" s="77">
        <v>5840</v>
      </c>
      <c r="H18" s="77"/>
      <c r="I18" s="77">
        <v>5840</v>
      </c>
      <c r="J18" s="77">
        <f>L18</f>
        <v>5840</v>
      </c>
      <c r="K18" s="77"/>
      <c r="L18" s="77">
        <v>5840</v>
      </c>
      <c r="M18" s="77">
        <f>I18-J18</f>
        <v>0</v>
      </c>
      <c r="N18" s="77">
        <f>O18</f>
        <v>5839.999999999999</v>
      </c>
      <c r="O18" s="77">
        <f>'Biểu số 02.'!O70</f>
        <v>5839.999999999999</v>
      </c>
      <c r="P18" s="77"/>
      <c r="Q18" s="77">
        <f t="shared" si="4"/>
        <v>5839.999999999999</v>
      </c>
      <c r="R18" s="77">
        <f t="shared" si="5"/>
        <v>0</v>
      </c>
      <c r="S18" s="80">
        <f t="shared" si="3"/>
        <v>0</v>
      </c>
      <c r="T18" s="78"/>
    </row>
    <row r="19" spans="1:20" ht="24" customHeight="1" hidden="1">
      <c r="A19" s="75" t="s">
        <v>23</v>
      </c>
      <c r="B19" s="76" t="s">
        <v>82</v>
      </c>
      <c r="C19" s="77">
        <v>20000</v>
      </c>
      <c r="D19" s="77">
        <v>20000</v>
      </c>
      <c r="E19" s="77"/>
      <c r="F19" s="77">
        <v>27600</v>
      </c>
      <c r="G19" s="77">
        <v>27600</v>
      </c>
      <c r="H19" s="77"/>
      <c r="I19" s="77">
        <f>J19+M19</f>
        <v>20000</v>
      </c>
      <c r="J19" s="77">
        <f>L19</f>
        <v>20000</v>
      </c>
      <c r="K19" s="77"/>
      <c r="L19" s="77">
        <v>20000</v>
      </c>
      <c r="M19" s="77">
        <v>0</v>
      </c>
      <c r="N19" s="77">
        <f>O19</f>
        <v>27600</v>
      </c>
      <c r="O19" s="77">
        <f>'Biểu số 02.'!O83</f>
        <v>27600</v>
      </c>
      <c r="P19" s="77"/>
      <c r="Q19" s="77">
        <f t="shared" si="4"/>
        <v>27600</v>
      </c>
      <c r="R19" s="77">
        <f t="shared" si="5"/>
        <v>0</v>
      </c>
      <c r="S19" s="80">
        <f t="shared" si="3"/>
        <v>7600</v>
      </c>
      <c r="T19" s="78"/>
    </row>
    <row r="20" spans="1:20" ht="24" customHeight="1" hidden="1">
      <c r="A20" s="79" t="s">
        <v>23</v>
      </c>
      <c r="B20" s="76" t="s">
        <v>236</v>
      </c>
      <c r="C20" s="77"/>
      <c r="D20" s="77"/>
      <c r="E20" s="77"/>
      <c r="F20" s="77">
        <v>15001</v>
      </c>
      <c r="G20" s="77">
        <v>15001</v>
      </c>
      <c r="H20" s="77"/>
      <c r="I20" s="77"/>
      <c r="J20" s="77"/>
      <c r="K20" s="77"/>
      <c r="L20" s="77"/>
      <c r="M20" s="77">
        <f>I20-J20</f>
        <v>0</v>
      </c>
      <c r="N20" s="77">
        <f>F20</f>
        <v>15001</v>
      </c>
      <c r="O20" s="77">
        <f>'Biểu số 02.'!O130</f>
        <v>15001</v>
      </c>
      <c r="P20" s="77"/>
      <c r="Q20" s="77">
        <f t="shared" si="4"/>
        <v>15001</v>
      </c>
      <c r="R20" s="77">
        <f t="shared" si="5"/>
        <v>0</v>
      </c>
      <c r="S20" s="80">
        <f t="shared" si="3"/>
        <v>15001</v>
      </c>
      <c r="T20" s="78"/>
    </row>
    <row r="21" spans="1:20" ht="21.75" customHeight="1">
      <c r="A21" s="75">
        <v>2</v>
      </c>
      <c r="B21" s="76" t="s">
        <v>107</v>
      </c>
      <c r="C21" s="77">
        <f aca="true" t="shared" si="6" ref="C21:J21">C22</f>
        <v>13000</v>
      </c>
      <c r="D21" s="77">
        <f t="shared" si="6"/>
        <v>11700</v>
      </c>
      <c r="E21" s="77">
        <f t="shared" si="6"/>
        <v>1300</v>
      </c>
      <c r="F21" s="77">
        <v>44300</v>
      </c>
      <c r="G21" s="77">
        <v>44300</v>
      </c>
      <c r="H21" s="77">
        <v>0</v>
      </c>
      <c r="I21" s="77">
        <f t="shared" si="6"/>
        <v>13000</v>
      </c>
      <c r="J21" s="77">
        <f t="shared" si="6"/>
        <v>11700</v>
      </c>
      <c r="K21" s="77"/>
      <c r="L21" s="77">
        <f>L22</f>
        <v>11700</v>
      </c>
      <c r="M21" s="77">
        <f>M22</f>
        <v>1300</v>
      </c>
      <c r="N21" s="77">
        <f>F21</f>
        <v>44300</v>
      </c>
      <c r="O21" s="77">
        <f>'Biểu số 02.'!O141</f>
        <v>52547.607</v>
      </c>
      <c r="P21" s="77"/>
      <c r="Q21" s="77">
        <f>O21</f>
        <v>52547.607</v>
      </c>
      <c r="R21" s="77">
        <f>N21-O21</f>
        <v>-8247.607000000004</v>
      </c>
      <c r="S21" s="80">
        <f t="shared" si="3"/>
        <v>31300</v>
      </c>
      <c r="T21" s="78"/>
    </row>
    <row r="22" spans="1:20" ht="22.5" customHeight="1" hidden="1">
      <c r="A22" s="75" t="s">
        <v>23</v>
      </c>
      <c r="B22" s="76" t="s">
        <v>134</v>
      </c>
      <c r="C22" s="77">
        <v>13000</v>
      </c>
      <c r="D22" s="77">
        <f>C22*0.9</f>
        <v>11700</v>
      </c>
      <c r="E22" s="77">
        <f>C22-D22</f>
        <v>1300</v>
      </c>
      <c r="F22" s="77">
        <v>44300</v>
      </c>
      <c r="G22" s="77">
        <v>44300</v>
      </c>
      <c r="H22" s="77">
        <f>F22-G22</f>
        <v>0</v>
      </c>
      <c r="I22" s="77">
        <v>13000</v>
      </c>
      <c r="J22" s="77">
        <f>I22*0.9</f>
        <v>11700</v>
      </c>
      <c r="K22" s="77"/>
      <c r="L22" s="77">
        <f>I22*90%</f>
        <v>11700</v>
      </c>
      <c r="M22" s="77">
        <f>I22-L22</f>
        <v>1300</v>
      </c>
      <c r="N22" s="77">
        <f>F22</f>
        <v>44300</v>
      </c>
      <c r="O22" s="77">
        <f>'Biểu số 02.'!O141</f>
        <v>52547.607</v>
      </c>
      <c r="P22" s="77"/>
      <c r="Q22" s="77">
        <f>O22</f>
        <v>52547.607</v>
      </c>
      <c r="R22" s="77">
        <f t="shared" si="5"/>
        <v>-8247.607000000004</v>
      </c>
      <c r="S22" s="80">
        <f t="shared" si="3"/>
        <v>31300</v>
      </c>
      <c r="T22" s="78"/>
    </row>
    <row r="23" spans="1:23" ht="55.5" customHeight="1">
      <c r="A23" s="75">
        <v>3</v>
      </c>
      <c r="B23" s="76" t="s">
        <v>248</v>
      </c>
      <c r="C23" s="77">
        <v>4900</v>
      </c>
      <c r="D23" s="77">
        <v>4900</v>
      </c>
      <c r="E23" s="77"/>
      <c r="F23" s="77">
        <v>4900</v>
      </c>
      <c r="G23" s="77">
        <v>4900</v>
      </c>
      <c r="H23" s="77"/>
      <c r="I23" s="77">
        <v>4900</v>
      </c>
      <c r="J23" s="77">
        <v>4900</v>
      </c>
      <c r="K23" s="77"/>
      <c r="L23" s="77">
        <v>4900</v>
      </c>
      <c r="M23" s="77">
        <v>0</v>
      </c>
      <c r="N23" s="77">
        <v>4900</v>
      </c>
      <c r="O23" s="77">
        <f>'Biểu số 02.'!O185</f>
        <v>4900</v>
      </c>
      <c r="P23" s="77"/>
      <c r="Q23" s="77">
        <f t="shared" si="4"/>
        <v>4900</v>
      </c>
      <c r="R23" s="86">
        <v>0</v>
      </c>
      <c r="S23" s="80">
        <f t="shared" si="3"/>
        <v>0</v>
      </c>
      <c r="T23" s="78"/>
      <c r="W23" s="83"/>
    </row>
    <row r="24" spans="1:23" ht="24" customHeight="1">
      <c r="A24" s="75">
        <v>4</v>
      </c>
      <c r="B24" s="76" t="s">
        <v>227</v>
      </c>
      <c r="C24" s="77"/>
      <c r="D24" s="77"/>
      <c r="E24" s="77"/>
      <c r="F24" s="77"/>
      <c r="G24" s="77"/>
      <c r="H24" s="77"/>
      <c r="I24" s="77">
        <v>0</v>
      </c>
      <c r="J24" s="77">
        <v>0</v>
      </c>
      <c r="K24" s="77"/>
      <c r="L24" s="77">
        <v>0</v>
      </c>
      <c r="M24" s="77">
        <v>0</v>
      </c>
      <c r="N24" s="77">
        <f>O24</f>
        <v>6497</v>
      </c>
      <c r="O24" s="77">
        <f>'Biểu số 02.'!O199</f>
        <v>6497</v>
      </c>
      <c r="P24" s="77"/>
      <c r="Q24" s="77">
        <f t="shared" si="4"/>
        <v>6497</v>
      </c>
      <c r="R24" s="77">
        <f t="shared" si="5"/>
        <v>0</v>
      </c>
      <c r="S24" s="80">
        <f t="shared" si="3"/>
        <v>6497</v>
      </c>
      <c r="T24" s="78"/>
      <c r="W24" s="83"/>
    </row>
    <row r="25" spans="1:23" ht="34.5" customHeight="1">
      <c r="A25" s="75">
        <v>5</v>
      </c>
      <c r="B25" s="76" t="s">
        <v>262</v>
      </c>
      <c r="C25" s="77"/>
      <c r="D25" s="77"/>
      <c r="E25" s="77"/>
      <c r="F25" s="77"/>
      <c r="G25" s="77"/>
      <c r="H25" s="77"/>
      <c r="I25" s="77"/>
      <c r="J25" s="77"/>
      <c r="K25" s="77"/>
      <c r="L25" s="77"/>
      <c r="M25" s="77">
        <v>0</v>
      </c>
      <c r="N25" s="77">
        <v>3532</v>
      </c>
      <c r="O25" s="77">
        <f>'Biểu số 02.'!O210</f>
        <v>3532</v>
      </c>
      <c r="P25" s="77"/>
      <c r="Q25" s="77">
        <f t="shared" si="4"/>
        <v>3532</v>
      </c>
      <c r="R25" s="77">
        <f t="shared" si="5"/>
        <v>0</v>
      </c>
      <c r="S25" s="80">
        <f t="shared" si="3"/>
        <v>3532</v>
      </c>
      <c r="T25" s="78"/>
      <c r="W25" s="83"/>
    </row>
    <row r="26" spans="1:23" ht="36.75" customHeight="1">
      <c r="A26" s="75">
        <v>6</v>
      </c>
      <c r="B26" s="76" t="s">
        <v>232</v>
      </c>
      <c r="C26" s="77"/>
      <c r="D26" s="77"/>
      <c r="E26" s="77"/>
      <c r="F26" s="77"/>
      <c r="G26" s="77"/>
      <c r="H26" s="77"/>
      <c r="I26" s="77"/>
      <c r="J26" s="77">
        <v>0</v>
      </c>
      <c r="K26" s="77"/>
      <c r="L26" s="77">
        <f>I26</f>
        <v>0</v>
      </c>
      <c r="M26" s="77">
        <v>0</v>
      </c>
      <c r="N26" s="77">
        <f>O26</f>
        <v>1004</v>
      </c>
      <c r="O26" s="77">
        <f>'Biểu số 02.'!O219</f>
        <v>1004</v>
      </c>
      <c r="P26" s="77"/>
      <c r="Q26" s="77">
        <f t="shared" si="4"/>
        <v>1004</v>
      </c>
      <c r="R26" s="77">
        <f t="shared" si="5"/>
        <v>0</v>
      </c>
      <c r="S26" s="80">
        <f t="shared" si="3"/>
        <v>1004</v>
      </c>
      <c r="T26" s="78"/>
      <c r="W26" s="83"/>
    </row>
    <row r="27" spans="1:23" ht="21.75" customHeight="1">
      <c r="A27" s="75">
        <v>7</v>
      </c>
      <c r="B27" s="76" t="s">
        <v>231</v>
      </c>
      <c r="C27" s="77"/>
      <c r="D27" s="77"/>
      <c r="E27" s="77"/>
      <c r="F27" s="77"/>
      <c r="G27" s="77"/>
      <c r="H27" s="77"/>
      <c r="I27" s="77"/>
      <c r="J27" s="77">
        <v>0</v>
      </c>
      <c r="K27" s="77"/>
      <c r="L27" s="77">
        <v>0</v>
      </c>
      <c r="M27" s="77">
        <v>0</v>
      </c>
      <c r="N27" s="77">
        <v>14</v>
      </c>
      <c r="O27" s="77">
        <f>'Biểu số 02.'!O230</f>
        <v>1088</v>
      </c>
      <c r="P27" s="77"/>
      <c r="Q27" s="77">
        <f t="shared" si="4"/>
        <v>1088</v>
      </c>
      <c r="R27" s="77">
        <v>0</v>
      </c>
      <c r="S27" s="80">
        <f t="shared" si="3"/>
        <v>14</v>
      </c>
      <c r="T27" s="78"/>
      <c r="W27" s="83"/>
    </row>
    <row r="28" spans="1:23" ht="21.75" customHeight="1">
      <c r="A28" s="75">
        <v>8</v>
      </c>
      <c r="B28" s="76" t="s">
        <v>284</v>
      </c>
      <c r="C28" s="77"/>
      <c r="D28" s="77"/>
      <c r="E28" s="77"/>
      <c r="F28" s="77">
        <f>G28</f>
        <v>40234</v>
      </c>
      <c r="G28" s="77">
        <v>40234</v>
      </c>
      <c r="H28" s="77"/>
      <c r="I28" s="77"/>
      <c r="J28" s="77"/>
      <c r="K28" s="77"/>
      <c r="L28" s="77"/>
      <c r="M28" s="77"/>
      <c r="N28" s="77">
        <v>40234</v>
      </c>
      <c r="O28" s="77">
        <v>40234</v>
      </c>
      <c r="P28" s="77"/>
      <c r="Q28" s="77">
        <v>40234</v>
      </c>
      <c r="R28" s="77"/>
      <c r="S28" s="80">
        <f t="shared" si="3"/>
        <v>40234</v>
      </c>
      <c r="T28" s="78"/>
      <c r="W28" s="83"/>
    </row>
    <row r="29" spans="1:23" ht="21.75" customHeight="1">
      <c r="A29" s="75">
        <v>9</v>
      </c>
      <c r="B29" s="76" t="s">
        <v>285</v>
      </c>
      <c r="C29" s="77"/>
      <c r="D29" s="77"/>
      <c r="E29" s="77"/>
      <c r="F29" s="77">
        <f>F30+F31</f>
        <v>88880</v>
      </c>
      <c r="G29" s="77">
        <f>G30+G31</f>
        <v>88880</v>
      </c>
      <c r="H29" s="77"/>
      <c r="I29" s="77"/>
      <c r="J29" s="77"/>
      <c r="K29" s="77"/>
      <c r="L29" s="77"/>
      <c r="M29" s="77"/>
      <c r="N29" s="77"/>
      <c r="O29" s="77"/>
      <c r="P29" s="77"/>
      <c r="Q29" s="77"/>
      <c r="R29" s="77"/>
      <c r="S29" s="80">
        <f t="shared" si="3"/>
        <v>0</v>
      </c>
      <c r="T29" s="78"/>
      <c r="W29" s="83"/>
    </row>
    <row r="30" spans="1:23" ht="21.75" customHeight="1" hidden="1">
      <c r="A30" s="79" t="s">
        <v>23</v>
      </c>
      <c r="B30" s="76" t="s">
        <v>286</v>
      </c>
      <c r="C30" s="77"/>
      <c r="D30" s="77"/>
      <c r="E30" s="77"/>
      <c r="F30" s="77">
        <v>13789</v>
      </c>
      <c r="G30" s="77">
        <v>13789</v>
      </c>
      <c r="H30" s="77"/>
      <c r="I30" s="77"/>
      <c r="J30" s="77"/>
      <c r="K30" s="77"/>
      <c r="L30" s="77"/>
      <c r="M30" s="77"/>
      <c r="N30" s="77">
        <v>13789</v>
      </c>
      <c r="O30" s="77">
        <v>13789</v>
      </c>
      <c r="P30" s="77"/>
      <c r="Q30" s="77">
        <v>13789</v>
      </c>
      <c r="R30" s="77"/>
      <c r="S30" s="80">
        <f t="shared" si="3"/>
        <v>13789</v>
      </c>
      <c r="T30" s="78"/>
      <c r="W30" s="83"/>
    </row>
    <row r="31" spans="1:23" ht="21.75" customHeight="1" hidden="1">
      <c r="A31" s="79" t="s">
        <v>23</v>
      </c>
      <c r="B31" s="76" t="s">
        <v>287</v>
      </c>
      <c r="C31" s="77"/>
      <c r="D31" s="77"/>
      <c r="E31" s="77"/>
      <c r="F31" s="77">
        <v>75091</v>
      </c>
      <c r="G31" s="77">
        <v>75091</v>
      </c>
      <c r="H31" s="77"/>
      <c r="I31" s="77"/>
      <c r="J31" s="77"/>
      <c r="K31" s="77"/>
      <c r="L31" s="77"/>
      <c r="M31" s="77"/>
      <c r="N31" s="77">
        <v>75091</v>
      </c>
      <c r="O31" s="77">
        <v>75091</v>
      </c>
      <c r="P31" s="77"/>
      <c r="Q31" s="77">
        <v>75091</v>
      </c>
      <c r="R31" s="77"/>
      <c r="S31" s="80">
        <f t="shared" si="3"/>
        <v>75091</v>
      </c>
      <c r="T31" s="78"/>
      <c r="W31" s="83"/>
    </row>
    <row r="32" spans="1:20" s="82" customFormat="1" ht="33.75" customHeight="1">
      <c r="A32" s="98" t="s">
        <v>6</v>
      </c>
      <c r="B32" s="73" t="s">
        <v>121</v>
      </c>
      <c r="C32" s="61">
        <f aca="true" t="shared" si="7" ref="C32:R32">C33+C34</f>
        <v>83333</v>
      </c>
      <c r="D32" s="61">
        <f t="shared" si="7"/>
        <v>75000</v>
      </c>
      <c r="E32" s="61">
        <f t="shared" si="7"/>
        <v>8333</v>
      </c>
      <c r="F32" s="61">
        <f t="shared" si="7"/>
        <v>9843</v>
      </c>
      <c r="G32" s="61">
        <f t="shared" si="7"/>
        <v>9843</v>
      </c>
      <c r="H32" s="61">
        <f t="shared" si="7"/>
        <v>0</v>
      </c>
      <c r="I32" s="61">
        <f t="shared" si="7"/>
        <v>83981</v>
      </c>
      <c r="J32" s="61">
        <f t="shared" si="7"/>
        <v>75000</v>
      </c>
      <c r="K32" s="61">
        <f t="shared" si="7"/>
        <v>1204</v>
      </c>
      <c r="L32" s="61">
        <f t="shared" si="7"/>
        <v>73796</v>
      </c>
      <c r="M32" s="61">
        <f t="shared" si="7"/>
        <v>8981</v>
      </c>
      <c r="N32" s="61">
        <f t="shared" si="7"/>
        <v>209011.86801</v>
      </c>
      <c r="O32" s="61">
        <f t="shared" si="7"/>
        <v>209011.86801</v>
      </c>
      <c r="P32" s="61">
        <f t="shared" si="7"/>
        <v>1204</v>
      </c>
      <c r="Q32" s="61">
        <f>Q33+Q34</f>
        <v>207807.86801</v>
      </c>
      <c r="R32" s="61">
        <f t="shared" si="7"/>
        <v>0</v>
      </c>
      <c r="S32" s="72">
        <f t="shared" si="3"/>
        <v>125030.86801</v>
      </c>
      <c r="T32" s="74"/>
    </row>
    <row r="33" spans="1:25" ht="35.25" customHeight="1">
      <c r="A33" s="75">
        <v>1</v>
      </c>
      <c r="B33" s="76" t="s">
        <v>135</v>
      </c>
      <c r="C33" s="77">
        <v>83333</v>
      </c>
      <c r="D33" s="77">
        <v>75000</v>
      </c>
      <c r="E33" s="77">
        <v>8333</v>
      </c>
      <c r="F33" s="77">
        <v>0</v>
      </c>
      <c r="G33" s="77">
        <v>0</v>
      </c>
      <c r="H33" s="77"/>
      <c r="I33" s="77">
        <f>J33+M33</f>
        <v>83981</v>
      </c>
      <c r="J33" s="77">
        <f>K33+L33</f>
        <v>75000</v>
      </c>
      <c r="K33" s="77">
        <v>1204</v>
      </c>
      <c r="L33" s="77">
        <v>73796</v>
      </c>
      <c r="M33" s="77">
        <v>8981</v>
      </c>
      <c r="N33" s="77">
        <f>O33+R33</f>
        <v>199168.86801</v>
      </c>
      <c r="O33" s="77">
        <f>P33+Q33</f>
        <v>199168.86801</v>
      </c>
      <c r="P33" s="77">
        <v>1204</v>
      </c>
      <c r="Q33" s="77">
        <f>'Biểu số 03'!O13</f>
        <v>197964.86801</v>
      </c>
      <c r="R33" s="77">
        <v>0</v>
      </c>
      <c r="S33" s="80">
        <f t="shared" si="3"/>
        <v>115187.86801</v>
      </c>
      <c r="T33" s="77"/>
      <c r="Y33" s="83"/>
    </row>
    <row r="34" spans="1:25" ht="22.5" customHeight="1">
      <c r="A34" s="75">
        <v>2</v>
      </c>
      <c r="B34" s="76" t="s">
        <v>201</v>
      </c>
      <c r="C34" s="77"/>
      <c r="D34" s="77"/>
      <c r="E34" s="77"/>
      <c r="F34" s="77">
        <v>9843</v>
      </c>
      <c r="G34" s="77">
        <v>9843</v>
      </c>
      <c r="H34" s="77"/>
      <c r="I34" s="77">
        <v>0</v>
      </c>
      <c r="J34" s="77">
        <v>0</v>
      </c>
      <c r="K34" s="77">
        <v>0</v>
      </c>
      <c r="L34" s="77">
        <v>0</v>
      </c>
      <c r="M34" s="77">
        <f>I34-K34-L34</f>
        <v>0</v>
      </c>
      <c r="N34" s="77">
        <f>O34+R34</f>
        <v>9843</v>
      </c>
      <c r="O34" s="77">
        <f>P34+Q34</f>
        <v>9843</v>
      </c>
      <c r="P34" s="77">
        <v>0</v>
      </c>
      <c r="Q34" s="77">
        <f>'Biểu số 03'!O17</f>
        <v>9843</v>
      </c>
      <c r="R34" s="77">
        <v>0</v>
      </c>
      <c r="S34" s="80">
        <f t="shared" si="3"/>
        <v>9843</v>
      </c>
      <c r="T34" s="77"/>
      <c r="Y34" s="83"/>
    </row>
    <row r="35" ht="37.5" customHeight="1">
      <c r="Q35" s="83"/>
    </row>
    <row r="36" ht="37.5" customHeight="1">
      <c r="O36" s="83"/>
    </row>
    <row r="37" ht="37.5" customHeight="1">
      <c r="O37" s="83"/>
    </row>
  </sheetData>
  <sheetProtection/>
  <mergeCells count="32">
    <mergeCell ref="Q1:T1"/>
    <mergeCell ref="A2:T2"/>
    <mergeCell ref="A3:T3"/>
    <mergeCell ref="A4:T4"/>
    <mergeCell ref="N5:T5"/>
    <mergeCell ref="A6:A10"/>
    <mergeCell ref="D8:D10"/>
    <mergeCell ref="E8:E10"/>
    <mergeCell ref="C7:C10"/>
    <mergeCell ref="D7:E7"/>
    <mergeCell ref="S6:S10"/>
    <mergeCell ref="T6:T10"/>
    <mergeCell ref="N8:N10"/>
    <mergeCell ref="O8:R8"/>
    <mergeCell ref="I8:I10"/>
    <mergeCell ref="J8:M8"/>
    <mergeCell ref="F7:F10"/>
    <mergeCell ref="G7:H7"/>
    <mergeCell ref="J9:J10"/>
    <mergeCell ref="K9:L9"/>
    <mergeCell ref="G8:G10"/>
    <mergeCell ref="H8:H10"/>
    <mergeCell ref="B6:B10"/>
    <mergeCell ref="C6:E6"/>
    <mergeCell ref="M9:M10"/>
    <mergeCell ref="O9:O10"/>
    <mergeCell ref="I7:M7"/>
    <mergeCell ref="N7:R7"/>
    <mergeCell ref="P9:Q9"/>
    <mergeCell ref="R9:R10"/>
    <mergeCell ref="F6:H6"/>
    <mergeCell ref="I6:R6"/>
  </mergeCells>
  <printOptions/>
  <pageMargins left="0.24" right="0.15748031496063" top="0.4" bottom="0.196850393700787" header="0.31496062992126" footer="0.31496062992126"/>
  <pageSetup horizontalDpi="600" verticalDpi="600" orientation="landscape" paperSize="9" scale="68" r:id="rId1"/>
  <headerFooter>
    <oddFooter>&amp;L&amp;9KH ĐTC trung hạn GĐ 2016-2020 (Điều chỉnh)&amp;R&amp;9Trang &amp;P</oddFooter>
  </headerFooter>
</worksheet>
</file>

<file path=xl/worksheets/sheet2.xml><?xml version="1.0" encoding="utf-8"?>
<worksheet xmlns="http://schemas.openxmlformats.org/spreadsheetml/2006/main" xmlns:r="http://schemas.openxmlformats.org/officeDocument/2006/relationships">
  <sheetPr>
    <tabColor rgb="FF0070C0"/>
  </sheetPr>
  <dimension ref="A1:AH38"/>
  <sheetViews>
    <sheetView zoomScale="80" zoomScaleNormal="80" zoomScalePageLayoutView="0" workbookViewId="0" topLeftCell="A25">
      <selection activeCell="AA20" sqref="AA20"/>
    </sheetView>
  </sheetViews>
  <sheetFormatPr defaultColWidth="8.88671875" defaultRowHeight="37.5" customHeight="1"/>
  <cols>
    <col min="1" max="1" width="4.99609375" style="84" customWidth="1"/>
    <col min="2" max="2" width="38.6640625" style="68" customWidth="1"/>
    <col min="3" max="13" width="10.5546875" style="68" hidden="1" customWidth="1"/>
    <col min="14" max="14" width="9.77734375" style="68" hidden="1" customWidth="1"/>
    <col min="15" max="15" width="11.5546875" style="68" hidden="1" customWidth="1"/>
    <col min="16" max="16" width="6.99609375" style="68" hidden="1" customWidth="1"/>
    <col min="17" max="17" width="11.5546875" style="68" hidden="1" customWidth="1"/>
    <col min="18" max="18" width="8.5546875" style="68" hidden="1" customWidth="1"/>
    <col min="19" max="20" width="9.99609375" style="68" customWidth="1"/>
    <col min="21" max="21" width="9.4453125" style="68" customWidth="1"/>
    <col min="22" max="22" width="10.88671875" style="68" customWidth="1"/>
    <col min="23" max="23" width="7.99609375" style="68" customWidth="1"/>
    <col min="24" max="25" width="9.99609375" style="68" customWidth="1"/>
    <col min="26" max="26" width="9.4453125" style="68" customWidth="1"/>
    <col min="27" max="27" width="10.88671875" style="68" customWidth="1"/>
    <col min="28" max="28" width="7.99609375" style="68" customWidth="1"/>
    <col min="29" max="29" width="9.10546875" style="68" customWidth="1"/>
    <col min="30" max="16384" width="8.88671875" style="68" customWidth="1"/>
  </cols>
  <sheetData>
    <row r="1" spans="1:29" ht="16.5">
      <c r="A1" s="67"/>
      <c r="Q1" s="188" t="s">
        <v>288</v>
      </c>
      <c r="R1" s="188"/>
      <c r="S1" s="188"/>
      <c r="T1" s="188"/>
      <c r="U1" s="188"/>
      <c r="V1" s="188"/>
      <c r="W1" s="188"/>
      <c r="X1" s="188"/>
      <c r="Y1" s="188"/>
      <c r="Z1" s="188"/>
      <c r="AA1" s="188"/>
      <c r="AB1" s="188"/>
      <c r="AC1" s="188"/>
    </row>
    <row r="2" spans="1:29" ht="16.5">
      <c r="A2" s="189" t="s">
        <v>143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row>
    <row r="3" spans="1:29" ht="18.75" hidden="1">
      <c r="A3" s="190" t="s">
        <v>323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ht="16.5">
      <c r="A4" s="194" t="s">
        <v>336</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row>
    <row r="5" spans="1:29" ht="16.5">
      <c r="A5" s="69"/>
      <c r="B5" s="69"/>
      <c r="C5" s="69"/>
      <c r="D5" s="69"/>
      <c r="E5" s="69"/>
      <c r="F5" s="69"/>
      <c r="G5" s="69"/>
      <c r="H5" s="69"/>
      <c r="I5" s="92"/>
      <c r="J5" s="92"/>
      <c r="K5" s="92"/>
      <c r="L5" s="92"/>
      <c r="M5" s="92"/>
      <c r="N5" s="193" t="s">
        <v>4</v>
      </c>
      <c r="O5" s="193"/>
      <c r="P5" s="193"/>
      <c r="Q5" s="193"/>
      <c r="R5" s="193"/>
      <c r="S5" s="193"/>
      <c r="T5" s="193"/>
      <c r="U5" s="193"/>
      <c r="V5" s="193"/>
      <c r="W5" s="193"/>
      <c r="X5" s="193"/>
      <c r="Y5" s="193"/>
      <c r="Z5" s="193"/>
      <c r="AA5" s="193"/>
      <c r="AB5" s="193"/>
      <c r="AC5" s="193"/>
    </row>
    <row r="6" spans="1:29" ht="58.5" customHeight="1">
      <c r="A6" s="182" t="s">
        <v>0</v>
      </c>
      <c r="B6" s="182" t="s">
        <v>1</v>
      </c>
      <c r="C6" s="185" t="s">
        <v>246</v>
      </c>
      <c r="D6" s="186"/>
      <c r="E6" s="187"/>
      <c r="F6" s="185" t="s">
        <v>247</v>
      </c>
      <c r="G6" s="186"/>
      <c r="H6" s="187"/>
      <c r="I6" s="185" t="s">
        <v>324</v>
      </c>
      <c r="J6" s="186"/>
      <c r="K6" s="186"/>
      <c r="L6" s="186"/>
      <c r="M6" s="186"/>
      <c r="N6" s="186"/>
      <c r="O6" s="186"/>
      <c r="P6" s="186"/>
      <c r="Q6" s="186"/>
      <c r="R6" s="186"/>
      <c r="S6" s="182" t="s">
        <v>367</v>
      </c>
      <c r="T6" s="182"/>
      <c r="U6" s="182"/>
      <c r="V6" s="182"/>
      <c r="W6" s="182"/>
      <c r="X6" s="182" t="s">
        <v>352</v>
      </c>
      <c r="Y6" s="182"/>
      <c r="Z6" s="182"/>
      <c r="AA6" s="182"/>
      <c r="AB6" s="182"/>
      <c r="AC6" s="182" t="s">
        <v>19</v>
      </c>
    </row>
    <row r="7" spans="1:29" ht="16.5" customHeight="1">
      <c r="A7" s="182"/>
      <c r="B7" s="182"/>
      <c r="C7" s="195"/>
      <c r="D7" s="183" t="s">
        <v>2</v>
      </c>
      <c r="E7" s="183" t="s">
        <v>3</v>
      </c>
      <c r="F7" s="195"/>
      <c r="G7" s="183" t="s">
        <v>2</v>
      </c>
      <c r="H7" s="183" t="s">
        <v>3</v>
      </c>
      <c r="I7" s="183" t="s">
        <v>17</v>
      </c>
      <c r="J7" s="185" t="s">
        <v>124</v>
      </c>
      <c r="K7" s="186"/>
      <c r="L7" s="186"/>
      <c r="M7" s="187"/>
      <c r="N7" s="182" t="s">
        <v>17</v>
      </c>
      <c r="O7" s="185" t="s">
        <v>124</v>
      </c>
      <c r="P7" s="186"/>
      <c r="Q7" s="186"/>
      <c r="R7" s="186"/>
      <c r="S7" s="182" t="s">
        <v>17</v>
      </c>
      <c r="T7" s="185" t="s">
        <v>124</v>
      </c>
      <c r="U7" s="186"/>
      <c r="V7" s="186"/>
      <c r="W7" s="186"/>
      <c r="X7" s="182" t="s">
        <v>17</v>
      </c>
      <c r="Y7" s="185" t="s">
        <v>124</v>
      </c>
      <c r="Z7" s="186"/>
      <c r="AA7" s="186"/>
      <c r="AB7" s="186"/>
      <c r="AC7" s="182"/>
    </row>
    <row r="8" spans="1:29" ht="16.5" customHeight="1">
      <c r="A8" s="182"/>
      <c r="B8" s="182"/>
      <c r="C8" s="195"/>
      <c r="D8" s="195"/>
      <c r="E8" s="195"/>
      <c r="F8" s="195"/>
      <c r="G8" s="195"/>
      <c r="H8" s="195"/>
      <c r="I8" s="195"/>
      <c r="J8" s="183" t="s">
        <v>2</v>
      </c>
      <c r="K8" s="185" t="s">
        <v>124</v>
      </c>
      <c r="L8" s="187"/>
      <c r="M8" s="183" t="s">
        <v>3</v>
      </c>
      <c r="N8" s="182"/>
      <c r="O8" s="183" t="s">
        <v>2</v>
      </c>
      <c r="P8" s="182" t="s">
        <v>124</v>
      </c>
      <c r="Q8" s="182"/>
      <c r="R8" s="185" t="s">
        <v>3</v>
      </c>
      <c r="S8" s="182"/>
      <c r="T8" s="183" t="s">
        <v>2</v>
      </c>
      <c r="U8" s="182" t="s">
        <v>124</v>
      </c>
      <c r="V8" s="182"/>
      <c r="W8" s="185" t="s">
        <v>3</v>
      </c>
      <c r="X8" s="182"/>
      <c r="Y8" s="183" t="s">
        <v>2</v>
      </c>
      <c r="Z8" s="182" t="s">
        <v>124</v>
      </c>
      <c r="AA8" s="182"/>
      <c r="AB8" s="185" t="s">
        <v>3</v>
      </c>
      <c r="AC8" s="182"/>
    </row>
    <row r="9" spans="1:29" ht="82.5" customHeight="1">
      <c r="A9" s="182"/>
      <c r="B9" s="182"/>
      <c r="C9" s="184"/>
      <c r="D9" s="184"/>
      <c r="E9" s="184"/>
      <c r="F9" s="184"/>
      <c r="G9" s="184"/>
      <c r="H9" s="184"/>
      <c r="I9" s="184"/>
      <c r="J9" s="184"/>
      <c r="K9" s="91" t="s">
        <v>125</v>
      </c>
      <c r="L9" s="91" t="s">
        <v>126</v>
      </c>
      <c r="M9" s="184"/>
      <c r="N9" s="182"/>
      <c r="O9" s="184"/>
      <c r="P9" s="70" t="s">
        <v>125</v>
      </c>
      <c r="Q9" s="70" t="s">
        <v>126</v>
      </c>
      <c r="R9" s="185"/>
      <c r="S9" s="182"/>
      <c r="T9" s="184"/>
      <c r="U9" s="102" t="s">
        <v>125</v>
      </c>
      <c r="V9" s="102" t="s">
        <v>126</v>
      </c>
      <c r="W9" s="185"/>
      <c r="X9" s="182"/>
      <c r="Y9" s="184"/>
      <c r="Z9" s="112" t="s">
        <v>125</v>
      </c>
      <c r="AA9" s="112" t="s">
        <v>126</v>
      </c>
      <c r="AB9" s="185"/>
      <c r="AC9" s="182"/>
    </row>
    <row r="10" spans="1:29" s="81" customFormat="1" ht="17.25">
      <c r="A10" s="71">
        <v>1</v>
      </c>
      <c r="B10" s="71">
        <v>2</v>
      </c>
      <c r="C10" s="71">
        <v>3</v>
      </c>
      <c r="D10" s="71">
        <v>4</v>
      </c>
      <c r="E10" s="71">
        <v>5</v>
      </c>
      <c r="F10" s="71">
        <v>3</v>
      </c>
      <c r="G10" s="71">
        <v>4</v>
      </c>
      <c r="H10" s="71">
        <v>5</v>
      </c>
      <c r="I10" s="71">
        <v>6</v>
      </c>
      <c r="J10" s="71">
        <v>7</v>
      </c>
      <c r="K10" s="71"/>
      <c r="L10" s="71"/>
      <c r="M10" s="71">
        <v>8</v>
      </c>
      <c r="N10" s="71">
        <v>3</v>
      </c>
      <c r="O10" s="71">
        <v>4</v>
      </c>
      <c r="P10" s="71">
        <v>5</v>
      </c>
      <c r="Q10" s="71">
        <v>6</v>
      </c>
      <c r="R10" s="71">
        <v>7</v>
      </c>
      <c r="S10" s="71">
        <v>3</v>
      </c>
      <c r="T10" s="71">
        <v>4</v>
      </c>
      <c r="U10" s="71">
        <v>5</v>
      </c>
      <c r="V10" s="71">
        <v>6</v>
      </c>
      <c r="W10" s="71">
        <v>7</v>
      </c>
      <c r="X10" s="71">
        <v>3</v>
      </c>
      <c r="Y10" s="71">
        <v>4</v>
      </c>
      <c r="Z10" s="71">
        <v>5</v>
      </c>
      <c r="AA10" s="71">
        <v>6</v>
      </c>
      <c r="AB10" s="71">
        <v>7</v>
      </c>
      <c r="AC10" s="71">
        <v>8</v>
      </c>
    </row>
    <row r="11" spans="1:29" ht="16.5">
      <c r="A11" s="70"/>
      <c r="B11" s="70" t="s">
        <v>128</v>
      </c>
      <c r="C11" s="72">
        <f aca="true" t="shared" si="0" ref="C11:R11">C12+C33</f>
        <v>175913</v>
      </c>
      <c r="D11" s="72">
        <f t="shared" si="0"/>
        <v>163106</v>
      </c>
      <c r="E11" s="72">
        <f t="shared" si="0"/>
        <v>12807</v>
      </c>
      <c r="F11" s="72">
        <f t="shared" si="0"/>
        <v>285023</v>
      </c>
      <c r="G11" s="72">
        <f t="shared" si="0"/>
        <v>285023</v>
      </c>
      <c r="H11" s="72">
        <f t="shared" si="0"/>
        <v>0</v>
      </c>
      <c r="I11" s="72">
        <f t="shared" si="0"/>
        <v>176561</v>
      </c>
      <c r="J11" s="72">
        <f t="shared" si="0"/>
        <v>163106</v>
      </c>
      <c r="K11" s="72">
        <f t="shared" si="0"/>
        <v>1204</v>
      </c>
      <c r="L11" s="72">
        <f t="shared" si="0"/>
        <v>161902</v>
      </c>
      <c r="M11" s="72">
        <f t="shared" si="0"/>
        <v>13455</v>
      </c>
      <c r="N11" s="72">
        <f t="shared" si="0"/>
        <v>509655.99500999996</v>
      </c>
      <c r="O11" s="72">
        <f t="shared" si="0"/>
        <v>504560.29501</v>
      </c>
      <c r="P11" s="72">
        <f t="shared" si="0"/>
        <v>1204</v>
      </c>
      <c r="Q11" s="72">
        <f t="shared" si="0"/>
        <v>503356.29501</v>
      </c>
      <c r="R11" s="72">
        <f t="shared" si="0"/>
        <v>5095.7</v>
      </c>
      <c r="S11" s="72">
        <f>+T11+W11</f>
        <v>389521.73955555557</v>
      </c>
      <c r="T11" s="72">
        <f>+U11+V11</f>
        <v>385760.184</v>
      </c>
      <c r="U11" s="72">
        <f>U12+U33</f>
        <v>1204.00299</v>
      </c>
      <c r="V11" s="72">
        <f>V12+V33</f>
        <v>384556.18101</v>
      </c>
      <c r="W11" s="72">
        <f>W12+W33</f>
        <v>3761.5555555555557</v>
      </c>
      <c r="X11" s="72">
        <f>+Y11+AB11+1</f>
        <v>388058.26255555556</v>
      </c>
      <c r="Y11" s="72">
        <f>+Z11+AA11</f>
        <v>384295.707</v>
      </c>
      <c r="Z11" s="72">
        <f>Z12+Z33</f>
        <v>1204.00299</v>
      </c>
      <c r="AA11" s="72">
        <f>AA12+AA33</f>
        <v>383091.70401</v>
      </c>
      <c r="AB11" s="72">
        <f>AB12+AB33</f>
        <v>3761.5555555555557</v>
      </c>
      <c r="AC11" s="106"/>
    </row>
    <row r="12" spans="1:31" s="82" customFormat="1" ht="19.5" customHeight="1">
      <c r="A12" s="70" t="s">
        <v>5</v>
      </c>
      <c r="B12" s="73" t="s">
        <v>129</v>
      </c>
      <c r="C12" s="61">
        <f>C13+C20+C23+C24+C26+C27</f>
        <v>92580</v>
      </c>
      <c r="D12" s="61">
        <f>D13+D20+D23+D24+D26+D27</f>
        <v>88106</v>
      </c>
      <c r="E12" s="61">
        <f>E13+E20+E23+E24+E26+E27</f>
        <v>4474</v>
      </c>
      <c r="F12" s="61">
        <f aca="true" t="shared" si="1" ref="F12:M12">F13+F20+F23+F24+F25+F26+F27+F29+F30</f>
        <v>275180</v>
      </c>
      <c r="G12" s="61">
        <f t="shared" si="1"/>
        <v>275180</v>
      </c>
      <c r="H12" s="61">
        <f t="shared" si="1"/>
        <v>0</v>
      </c>
      <c r="I12" s="61">
        <f t="shared" si="1"/>
        <v>92580</v>
      </c>
      <c r="J12" s="61">
        <f t="shared" si="1"/>
        <v>88106</v>
      </c>
      <c r="K12" s="61">
        <f t="shared" si="1"/>
        <v>0</v>
      </c>
      <c r="L12" s="61">
        <f t="shared" si="1"/>
        <v>88106</v>
      </c>
      <c r="M12" s="61">
        <f t="shared" si="1"/>
        <v>4474</v>
      </c>
      <c r="N12" s="61">
        <f aca="true" t="shared" si="2" ref="N12:W12">N13+N20+N23+N24+N25+N26+N27+N29+N30+N28</f>
        <v>300644.127</v>
      </c>
      <c r="O12" s="61">
        <f t="shared" si="2"/>
        <v>295548.427</v>
      </c>
      <c r="P12" s="61">
        <f t="shared" si="2"/>
        <v>0</v>
      </c>
      <c r="Q12" s="61">
        <f t="shared" si="2"/>
        <v>295548.427</v>
      </c>
      <c r="R12" s="61">
        <f t="shared" si="2"/>
        <v>5095.7</v>
      </c>
      <c r="S12" s="61">
        <f t="shared" si="2"/>
        <v>297783.23955555557</v>
      </c>
      <c r="T12" s="61">
        <f t="shared" si="2"/>
        <v>294021.684</v>
      </c>
      <c r="U12" s="61">
        <f t="shared" si="2"/>
        <v>0</v>
      </c>
      <c r="V12" s="61">
        <f>V13+V20+V23+V24+V25+V26+V27+V29+V30+V28+0.3</f>
        <v>294021.984</v>
      </c>
      <c r="W12" s="61">
        <f t="shared" si="2"/>
        <v>3761.5555555555557</v>
      </c>
      <c r="X12" s="61">
        <f>X13+X20+X23+X24+X25+X26+X27+X29+X30+X28</f>
        <v>296318.76255555556</v>
      </c>
      <c r="Y12" s="61">
        <f>Y13+Y20+Y23+Y24+Y25+Y26+Y27+Y29+Y30+Y28</f>
        <v>292557.207</v>
      </c>
      <c r="Z12" s="61">
        <f>Z13+Z20+Z23+Z24+Z25+Z26+Z27+Z29+Z30+Z28</f>
        <v>0</v>
      </c>
      <c r="AA12" s="61">
        <f>AA13+AA20+AA23+AA24+AA25+AA26+AA27+AA29+AA30+AA28+0.3</f>
        <v>292557.507</v>
      </c>
      <c r="AB12" s="61">
        <f>AB13+AB20+AB23+AB24+AB25+AB26+AB27+AB29+AB30+AB28</f>
        <v>3761.5555555555557</v>
      </c>
      <c r="AC12" s="74"/>
      <c r="AE12" s="101"/>
    </row>
    <row r="13" spans="1:29" ht="20.25" customHeight="1">
      <c r="A13" s="75">
        <v>1</v>
      </c>
      <c r="B13" s="76" t="s">
        <v>130</v>
      </c>
      <c r="C13" s="77">
        <f>SUM(C14:C18)</f>
        <v>74680</v>
      </c>
      <c r="D13" s="77">
        <f>SUM(D14:D18)</f>
        <v>71506</v>
      </c>
      <c r="E13" s="77">
        <f>SUM(E14:E18)</f>
        <v>3174</v>
      </c>
      <c r="F13" s="86">
        <f aca="true" t="shared" si="3" ref="F13:M13">F14+F15+F16+F17+F18+F19</f>
        <v>96866</v>
      </c>
      <c r="G13" s="86">
        <f t="shared" si="3"/>
        <v>96866</v>
      </c>
      <c r="H13" s="86">
        <f t="shared" si="3"/>
        <v>0</v>
      </c>
      <c r="I13" s="86">
        <f t="shared" si="3"/>
        <v>74680</v>
      </c>
      <c r="J13" s="86">
        <f t="shared" si="3"/>
        <v>71506</v>
      </c>
      <c r="K13" s="86">
        <f t="shared" si="3"/>
        <v>0</v>
      </c>
      <c r="L13" s="86">
        <f t="shared" si="3"/>
        <v>71506</v>
      </c>
      <c r="M13" s="86">
        <f t="shared" si="3"/>
        <v>3174</v>
      </c>
      <c r="N13" s="86">
        <f aca="true" t="shared" si="4" ref="N13:AB13">N14+N15+N16+N17+N18+N19</f>
        <v>96866</v>
      </c>
      <c r="O13" s="86">
        <f t="shared" si="4"/>
        <v>96866</v>
      </c>
      <c r="P13" s="86">
        <f t="shared" si="4"/>
        <v>0</v>
      </c>
      <c r="Q13" s="86">
        <f t="shared" si="4"/>
        <v>96866</v>
      </c>
      <c r="R13" s="86">
        <f t="shared" si="4"/>
        <v>0</v>
      </c>
      <c r="S13" s="86">
        <f t="shared" si="4"/>
        <v>96866</v>
      </c>
      <c r="T13" s="86">
        <f t="shared" si="4"/>
        <v>96866</v>
      </c>
      <c r="U13" s="86">
        <f t="shared" si="4"/>
        <v>0</v>
      </c>
      <c r="V13" s="86">
        <f t="shared" si="4"/>
        <v>96866</v>
      </c>
      <c r="W13" s="86">
        <f t="shared" si="4"/>
        <v>0</v>
      </c>
      <c r="X13" s="86">
        <f t="shared" si="4"/>
        <v>96866</v>
      </c>
      <c r="Y13" s="86">
        <f t="shared" si="4"/>
        <v>96866</v>
      </c>
      <c r="Z13" s="86">
        <f t="shared" si="4"/>
        <v>0</v>
      </c>
      <c r="AA13" s="86">
        <f t="shared" si="4"/>
        <v>96866</v>
      </c>
      <c r="AB13" s="86">
        <f t="shared" si="4"/>
        <v>0</v>
      </c>
      <c r="AC13" s="78"/>
    </row>
    <row r="14" spans="1:29" ht="52.5" customHeight="1">
      <c r="A14" s="75" t="s">
        <v>23</v>
      </c>
      <c r="B14" s="76" t="s">
        <v>131</v>
      </c>
      <c r="C14" s="77">
        <v>31740</v>
      </c>
      <c r="D14" s="77">
        <f>C14*0.9</f>
        <v>28566</v>
      </c>
      <c r="E14" s="77">
        <f>C14-D14</f>
        <v>3174</v>
      </c>
      <c r="F14" s="77">
        <v>31740</v>
      </c>
      <c r="G14" s="77">
        <f>O14</f>
        <v>31740</v>
      </c>
      <c r="H14" s="77">
        <f>F14-G14</f>
        <v>0</v>
      </c>
      <c r="I14" s="77">
        <f>J14+M14</f>
        <v>31740</v>
      </c>
      <c r="J14" s="77">
        <f>L14</f>
        <v>28566</v>
      </c>
      <c r="K14" s="77"/>
      <c r="L14" s="77">
        <v>28566</v>
      </c>
      <c r="M14" s="77">
        <v>3174</v>
      </c>
      <c r="N14" s="86">
        <f>O14+R14</f>
        <v>31740</v>
      </c>
      <c r="O14" s="86">
        <f>'Biểu số 02.'!O14</f>
        <v>31740</v>
      </c>
      <c r="P14" s="86"/>
      <c r="Q14" s="86">
        <f>O14</f>
        <v>31740</v>
      </c>
      <c r="R14" s="77">
        <v>0</v>
      </c>
      <c r="S14" s="86">
        <f>T14+W14</f>
        <v>31739.999999999996</v>
      </c>
      <c r="T14" s="86">
        <f>+'Biểu số 02.'!V14</f>
        <v>31739.999999999996</v>
      </c>
      <c r="U14" s="86"/>
      <c r="V14" s="86">
        <f aca="true" t="shared" si="5" ref="V14:V27">T14</f>
        <v>31739.999999999996</v>
      </c>
      <c r="W14" s="77">
        <v>0</v>
      </c>
      <c r="X14" s="86">
        <v>31739.999999999996</v>
      </c>
      <c r="Y14" s="86">
        <v>31739.999999999996</v>
      </c>
      <c r="Z14" s="86"/>
      <c r="AA14" s="86">
        <v>31739.999999999996</v>
      </c>
      <c r="AB14" s="77">
        <v>0</v>
      </c>
      <c r="AC14" s="78"/>
    </row>
    <row r="15" spans="1:29" ht="36.75" customHeight="1">
      <c r="A15" s="75" t="s">
        <v>23</v>
      </c>
      <c r="B15" s="76" t="s">
        <v>80</v>
      </c>
      <c r="C15" s="77">
        <v>15000</v>
      </c>
      <c r="D15" s="77">
        <v>15000</v>
      </c>
      <c r="E15" s="77"/>
      <c r="F15" s="77">
        <v>15000</v>
      </c>
      <c r="G15" s="77">
        <v>15000</v>
      </c>
      <c r="H15" s="77"/>
      <c r="I15" s="77">
        <v>15000</v>
      </c>
      <c r="J15" s="77">
        <f>L15</f>
        <v>15000</v>
      </c>
      <c r="K15" s="77"/>
      <c r="L15" s="77">
        <v>15000</v>
      </c>
      <c r="M15" s="77">
        <f>I15-J15</f>
        <v>0</v>
      </c>
      <c r="N15" s="86">
        <f>O15+R15</f>
        <v>14999.999999999998</v>
      </c>
      <c r="O15" s="86">
        <f>'Biểu số 02.'!O45</f>
        <v>14999.999999999998</v>
      </c>
      <c r="P15" s="86"/>
      <c r="Q15" s="86">
        <f aca="true" t="shared" si="6" ref="Q15:Q27">O15</f>
        <v>14999.999999999998</v>
      </c>
      <c r="R15" s="77">
        <v>0</v>
      </c>
      <c r="S15" s="86">
        <f>T15+W15</f>
        <v>15000</v>
      </c>
      <c r="T15" s="86">
        <f>+'Biểu số 02.'!V45</f>
        <v>15000</v>
      </c>
      <c r="U15" s="86"/>
      <c r="V15" s="86">
        <f t="shared" si="5"/>
        <v>15000</v>
      </c>
      <c r="W15" s="77">
        <v>0</v>
      </c>
      <c r="X15" s="86">
        <v>15000</v>
      </c>
      <c r="Y15" s="86">
        <v>15000</v>
      </c>
      <c r="Z15" s="86"/>
      <c r="AA15" s="86">
        <v>15000</v>
      </c>
      <c r="AB15" s="77">
        <v>0</v>
      </c>
      <c r="AC15" s="78"/>
    </row>
    <row r="16" spans="1:29" ht="43.5" customHeight="1">
      <c r="A16" s="75" t="s">
        <v>23</v>
      </c>
      <c r="B16" s="76" t="s">
        <v>132</v>
      </c>
      <c r="C16" s="77">
        <v>2100</v>
      </c>
      <c r="D16" s="77">
        <v>2100</v>
      </c>
      <c r="E16" s="77"/>
      <c r="F16" s="77">
        <v>1685</v>
      </c>
      <c r="G16" s="77">
        <v>1685</v>
      </c>
      <c r="H16" s="77"/>
      <c r="I16" s="77">
        <v>2100</v>
      </c>
      <c r="J16" s="77">
        <f>L16</f>
        <v>2100</v>
      </c>
      <c r="K16" s="77"/>
      <c r="L16" s="77">
        <v>2100</v>
      </c>
      <c r="M16" s="77">
        <f>I16-J16</f>
        <v>0</v>
      </c>
      <c r="N16" s="86">
        <f>O16</f>
        <v>1685</v>
      </c>
      <c r="O16" s="86">
        <f>'Biểu số 02.'!O69</f>
        <v>1685</v>
      </c>
      <c r="P16" s="86"/>
      <c r="Q16" s="86">
        <f t="shared" si="6"/>
        <v>1685</v>
      </c>
      <c r="R16" s="77">
        <f aca="true" t="shared" si="7" ref="R16:R26">N16-O16</f>
        <v>0</v>
      </c>
      <c r="S16" s="86">
        <f>T16</f>
        <v>1685</v>
      </c>
      <c r="T16" s="86">
        <f>+'Biểu số 02.'!V69</f>
        <v>1685</v>
      </c>
      <c r="U16" s="86"/>
      <c r="V16" s="86">
        <f t="shared" si="5"/>
        <v>1685</v>
      </c>
      <c r="W16" s="77">
        <f>S16-T16</f>
        <v>0</v>
      </c>
      <c r="X16" s="86">
        <v>1685</v>
      </c>
      <c r="Y16" s="86">
        <v>1685</v>
      </c>
      <c r="Z16" s="86"/>
      <c r="AA16" s="86">
        <v>1685</v>
      </c>
      <c r="AB16" s="77">
        <v>0</v>
      </c>
      <c r="AC16" s="78"/>
    </row>
    <row r="17" spans="1:29" ht="57.75" customHeight="1">
      <c r="A17" s="75" t="s">
        <v>23</v>
      </c>
      <c r="B17" s="76" t="s">
        <v>133</v>
      </c>
      <c r="C17" s="77">
        <v>5840</v>
      </c>
      <c r="D17" s="77">
        <v>5840</v>
      </c>
      <c r="E17" s="77"/>
      <c r="F17" s="77">
        <v>5840</v>
      </c>
      <c r="G17" s="77">
        <v>5840</v>
      </c>
      <c r="H17" s="77"/>
      <c r="I17" s="77">
        <v>5840</v>
      </c>
      <c r="J17" s="77">
        <f>L17</f>
        <v>5840</v>
      </c>
      <c r="K17" s="77"/>
      <c r="L17" s="77">
        <v>5840</v>
      </c>
      <c r="M17" s="77">
        <f>I17-J17</f>
        <v>0</v>
      </c>
      <c r="N17" s="86">
        <f>O17</f>
        <v>5839.999999999999</v>
      </c>
      <c r="O17" s="86">
        <f>'Biểu số 02.'!O70</f>
        <v>5839.999999999999</v>
      </c>
      <c r="P17" s="86"/>
      <c r="Q17" s="86">
        <f t="shared" si="6"/>
        <v>5839.999999999999</v>
      </c>
      <c r="R17" s="77">
        <f t="shared" si="7"/>
        <v>0</v>
      </c>
      <c r="S17" s="86">
        <f>T17</f>
        <v>5839.999999999999</v>
      </c>
      <c r="T17" s="86">
        <f>+'Biểu số 02.'!V70</f>
        <v>5839.999999999999</v>
      </c>
      <c r="U17" s="86"/>
      <c r="V17" s="86">
        <f t="shared" si="5"/>
        <v>5839.999999999999</v>
      </c>
      <c r="W17" s="77">
        <f>S17-T17</f>
        <v>0</v>
      </c>
      <c r="X17" s="86">
        <v>5839.999999999999</v>
      </c>
      <c r="Y17" s="86">
        <v>5839.999999999999</v>
      </c>
      <c r="Z17" s="86"/>
      <c r="AA17" s="86">
        <v>5839.999999999999</v>
      </c>
      <c r="AB17" s="77">
        <v>0</v>
      </c>
      <c r="AC17" s="78"/>
    </row>
    <row r="18" spans="1:29" ht="35.25" customHeight="1">
      <c r="A18" s="75" t="s">
        <v>23</v>
      </c>
      <c r="B18" s="76" t="s">
        <v>82</v>
      </c>
      <c r="C18" s="77">
        <v>20000</v>
      </c>
      <c r="D18" s="77">
        <v>20000</v>
      </c>
      <c r="E18" s="77"/>
      <c r="F18" s="77">
        <v>27600</v>
      </c>
      <c r="G18" s="77">
        <v>27600</v>
      </c>
      <c r="H18" s="77"/>
      <c r="I18" s="77">
        <f>J18+M18</f>
        <v>20000</v>
      </c>
      <c r="J18" s="77">
        <f>L18</f>
        <v>20000</v>
      </c>
      <c r="K18" s="77"/>
      <c r="L18" s="77">
        <v>20000</v>
      </c>
      <c r="M18" s="77">
        <v>0</v>
      </c>
      <c r="N18" s="86">
        <f>O18</f>
        <v>27600</v>
      </c>
      <c r="O18" s="86">
        <f>'Biểu số 02.'!O83</f>
        <v>27600</v>
      </c>
      <c r="P18" s="86"/>
      <c r="Q18" s="86">
        <f t="shared" si="6"/>
        <v>27600</v>
      </c>
      <c r="R18" s="77">
        <f t="shared" si="7"/>
        <v>0</v>
      </c>
      <c r="S18" s="86">
        <f>T18</f>
        <v>27600</v>
      </c>
      <c r="T18" s="86">
        <f>+'Biểu số 02.'!V83</f>
        <v>27600</v>
      </c>
      <c r="U18" s="86"/>
      <c r="V18" s="86">
        <f t="shared" si="5"/>
        <v>27600</v>
      </c>
      <c r="W18" s="77">
        <f>S18-T18</f>
        <v>0</v>
      </c>
      <c r="X18" s="86">
        <v>27600</v>
      </c>
      <c r="Y18" s="86">
        <v>27600</v>
      </c>
      <c r="Z18" s="86"/>
      <c r="AA18" s="86">
        <v>27600</v>
      </c>
      <c r="AB18" s="77">
        <v>0</v>
      </c>
      <c r="AC18" s="78"/>
    </row>
    <row r="19" spans="1:29" ht="32.25" customHeight="1">
      <c r="A19" s="79" t="s">
        <v>23</v>
      </c>
      <c r="B19" s="76" t="s">
        <v>236</v>
      </c>
      <c r="C19" s="77"/>
      <c r="D19" s="77"/>
      <c r="E19" s="77"/>
      <c r="F19" s="77">
        <v>15001</v>
      </c>
      <c r="G19" s="77">
        <v>15001</v>
      </c>
      <c r="H19" s="77"/>
      <c r="I19" s="77"/>
      <c r="J19" s="77"/>
      <c r="K19" s="77"/>
      <c r="L19" s="77"/>
      <c r="M19" s="77">
        <f>I19-J19</f>
        <v>0</v>
      </c>
      <c r="N19" s="86">
        <f>F19</f>
        <v>15001</v>
      </c>
      <c r="O19" s="86">
        <f>'Biểu số 02.'!O130</f>
        <v>15001</v>
      </c>
      <c r="P19" s="86"/>
      <c r="Q19" s="86">
        <f t="shared" si="6"/>
        <v>15001</v>
      </c>
      <c r="R19" s="77">
        <f t="shared" si="7"/>
        <v>0</v>
      </c>
      <c r="S19" s="86">
        <f>T19</f>
        <v>15001</v>
      </c>
      <c r="T19" s="86">
        <f>+'Biểu số 02.'!V130</f>
        <v>15001</v>
      </c>
      <c r="U19" s="86"/>
      <c r="V19" s="86">
        <f t="shared" si="5"/>
        <v>15001</v>
      </c>
      <c r="W19" s="77">
        <f>S19-T19</f>
        <v>0</v>
      </c>
      <c r="X19" s="86">
        <v>15001</v>
      </c>
      <c r="Y19" s="86">
        <v>15001</v>
      </c>
      <c r="Z19" s="86"/>
      <c r="AA19" s="86">
        <v>15001</v>
      </c>
      <c r="AB19" s="77">
        <v>0</v>
      </c>
      <c r="AC19" s="78"/>
    </row>
    <row r="20" spans="1:29" ht="35.25" customHeight="1">
      <c r="A20" s="75">
        <v>2</v>
      </c>
      <c r="B20" s="76" t="s">
        <v>107</v>
      </c>
      <c r="C20" s="77">
        <f aca="true" t="shared" si="8" ref="C20:J20">C21</f>
        <v>13000</v>
      </c>
      <c r="D20" s="77">
        <f t="shared" si="8"/>
        <v>11700</v>
      </c>
      <c r="E20" s="77">
        <f t="shared" si="8"/>
        <v>1300</v>
      </c>
      <c r="F20" s="77">
        <v>44300</v>
      </c>
      <c r="G20" s="77">
        <v>44300</v>
      </c>
      <c r="H20" s="77">
        <v>0</v>
      </c>
      <c r="I20" s="77">
        <f t="shared" si="8"/>
        <v>13000</v>
      </c>
      <c r="J20" s="77">
        <f t="shared" si="8"/>
        <v>11700</v>
      </c>
      <c r="K20" s="77"/>
      <c r="L20" s="77">
        <f>L21</f>
        <v>11700</v>
      </c>
      <c r="M20" s="77">
        <f>M21</f>
        <v>1300</v>
      </c>
      <c r="N20" s="86">
        <f>N21+N22</f>
        <v>57643.307</v>
      </c>
      <c r="O20" s="86">
        <f aca="true" t="shared" si="9" ref="O20:AB20">O21+O22</f>
        <v>52547.607</v>
      </c>
      <c r="P20" s="86">
        <f t="shared" si="9"/>
        <v>0</v>
      </c>
      <c r="Q20" s="86">
        <f t="shared" si="9"/>
        <v>52547.607</v>
      </c>
      <c r="R20" s="86">
        <f t="shared" si="9"/>
        <v>5095.7</v>
      </c>
      <c r="S20" s="86">
        <f>S21+S22</f>
        <v>102385.76255555556</v>
      </c>
      <c r="T20" s="86">
        <f t="shared" si="9"/>
        <v>98624.207</v>
      </c>
      <c r="U20" s="86">
        <f t="shared" si="9"/>
        <v>0</v>
      </c>
      <c r="V20" s="86">
        <f t="shared" si="9"/>
        <v>98624.207</v>
      </c>
      <c r="W20" s="86">
        <f t="shared" si="9"/>
        <v>3761.5555555555557</v>
      </c>
      <c r="X20" s="86">
        <f t="shared" si="9"/>
        <v>102385.76255555556</v>
      </c>
      <c r="Y20" s="86">
        <f t="shared" si="9"/>
        <v>98624.207</v>
      </c>
      <c r="Z20" s="86">
        <f t="shared" si="9"/>
        <v>0</v>
      </c>
      <c r="AA20" s="86">
        <f t="shared" si="9"/>
        <v>98624.207</v>
      </c>
      <c r="AB20" s="86">
        <f t="shared" si="9"/>
        <v>3761.5555555555557</v>
      </c>
      <c r="AC20" s="78"/>
    </row>
    <row r="21" spans="1:29" ht="42" customHeight="1">
      <c r="A21" s="75" t="s">
        <v>23</v>
      </c>
      <c r="B21" s="76" t="s">
        <v>134</v>
      </c>
      <c r="C21" s="77">
        <v>13000</v>
      </c>
      <c r="D21" s="77">
        <f>C21*0.9</f>
        <v>11700</v>
      </c>
      <c r="E21" s="77">
        <f>C21-D21</f>
        <v>1300</v>
      </c>
      <c r="F21" s="77">
        <v>44300</v>
      </c>
      <c r="G21" s="77">
        <v>44300</v>
      </c>
      <c r="H21" s="77">
        <f>F21-G21</f>
        <v>0</v>
      </c>
      <c r="I21" s="77">
        <v>13000</v>
      </c>
      <c r="J21" s="77">
        <f>I21*0.9</f>
        <v>11700</v>
      </c>
      <c r="K21" s="77"/>
      <c r="L21" s="77">
        <f>I21*90%</f>
        <v>11700</v>
      </c>
      <c r="M21" s="77">
        <f>I21-L21</f>
        <v>1300</v>
      </c>
      <c r="N21" s="86">
        <f>O21+R21</f>
        <v>57643.307</v>
      </c>
      <c r="O21" s="86">
        <f>'Biểu số 02.'!O141</f>
        <v>52547.607</v>
      </c>
      <c r="P21" s="86"/>
      <c r="Q21" s="86">
        <f>O21</f>
        <v>52547.607</v>
      </c>
      <c r="R21" s="77">
        <f>'Biểu số 02.'!O252</f>
        <v>5095.7</v>
      </c>
      <c r="S21" s="86">
        <f>T21+W21</f>
        <v>44299.76255555556</v>
      </c>
      <c r="T21" s="86">
        <f>+V21</f>
        <v>40538.207</v>
      </c>
      <c r="U21" s="86"/>
      <c r="V21" s="86">
        <f>+'Biểu số 02.'!V149+'Biểu số 02.'!V164</f>
        <v>40538.207</v>
      </c>
      <c r="W21" s="77">
        <f>+'Biểu số 02.'!V252</f>
        <v>3761.5555555555557</v>
      </c>
      <c r="X21" s="86">
        <v>44299.76255555556</v>
      </c>
      <c r="Y21" s="86">
        <v>40538.207</v>
      </c>
      <c r="Z21" s="86"/>
      <c r="AA21" s="86">
        <v>40538.207</v>
      </c>
      <c r="AB21" s="77">
        <v>3761.5555555555557</v>
      </c>
      <c r="AC21" s="78"/>
    </row>
    <row r="22" spans="1:29" ht="30.75" customHeight="1">
      <c r="A22" s="75" t="s">
        <v>23</v>
      </c>
      <c r="B22" s="76" t="s">
        <v>332</v>
      </c>
      <c r="C22" s="77"/>
      <c r="D22" s="77"/>
      <c r="E22" s="77"/>
      <c r="F22" s="77"/>
      <c r="G22" s="77"/>
      <c r="H22" s="77"/>
      <c r="I22" s="77"/>
      <c r="J22" s="77"/>
      <c r="K22" s="77"/>
      <c r="L22" s="77"/>
      <c r="M22" s="77"/>
      <c r="N22" s="86"/>
      <c r="O22" s="86"/>
      <c r="P22" s="86"/>
      <c r="Q22" s="86"/>
      <c r="R22" s="77"/>
      <c r="S22" s="86">
        <f>T22+W22</f>
        <v>58086</v>
      </c>
      <c r="T22" s="86">
        <f>U22+V22</f>
        <v>58086</v>
      </c>
      <c r="U22" s="86"/>
      <c r="V22" s="86">
        <f>'Biểu số 02.'!V181</f>
        <v>58086</v>
      </c>
      <c r="W22" s="77">
        <v>0</v>
      </c>
      <c r="X22" s="86">
        <v>58086</v>
      </c>
      <c r="Y22" s="86">
        <v>58086</v>
      </c>
      <c r="Z22" s="86"/>
      <c r="AA22" s="86">
        <v>58086</v>
      </c>
      <c r="AB22" s="77">
        <v>0</v>
      </c>
      <c r="AC22" s="78"/>
    </row>
    <row r="23" spans="1:32" ht="55.5" customHeight="1">
      <c r="A23" s="75">
        <v>3</v>
      </c>
      <c r="B23" s="76" t="s">
        <v>248</v>
      </c>
      <c r="C23" s="77">
        <v>4900</v>
      </c>
      <c r="D23" s="77">
        <v>4900</v>
      </c>
      <c r="E23" s="77"/>
      <c r="F23" s="77">
        <v>4900</v>
      </c>
      <c r="G23" s="77">
        <v>4900</v>
      </c>
      <c r="H23" s="77"/>
      <c r="I23" s="77">
        <v>4900</v>
      </c>
      <c r="J23" s="77">
        <v>4900</v>
      </c>
      <c r="K23" s="77"/>
      <c r="L23" s="77">
        <v>4900</v>
      </c>
      <c r="M23" s="77">
        <v>0</v>
      </c>
      <c r="N23" s="86">
        <v>4900</v>
      </c>
      <c r="O23" s="86">
        <f>'Biểu số 02.'!O185</f>
        <v>4900</v>
      </c>
      <c r="P23" s="86"/>
      <c r="Q23" s="86">
        <f t="shared" si="6"/>
        <v>4900</v>
      </c>
      <c r="R23" s="86">
        <v>0</v>
      </c>
      <c r="S23" s="86">
        <f>T23+W23</f>
        <v>4994.477</v>
      </c>
      <c r="T23" s="86">
        <f>+'Biểu số 02.'!V185</f>
        <v>4994.477</v>
      </c>
      <c r="U23" s="86"/>
      <c r="V23" s="86">
        <f>T23</f>
        <v>4994.477</v>
      </c>
      <c r="W23" s="86">
        <v>0</v>
      </c>
      <c r="X23" s="86">
        <v>4900</v>
      </c>
      <c r="Y23" s="86">
        <v>4900</v>
      </c>
      <c r="Z23" s="86"/>
      <c r="AA23" s="86">
        <v>4900</v>
      </c>
      <c r="AB23" s="86">
        <v>0</v>
      </c>
      <c r="AC23" s="78"/>
      <c r="AF23" s="83"/>
    </row>
    <row r="24" spans="1:32" ht="36" customHeight="1">
      <c r="A24" s="75">
        <v>4</v>
      </c>
      <c r="B24" s="76" t="s">
        <v>227</v>
      </c>
      <c r="C24" s="77"/>
      <c r="D24" s="77"/>
      <c r="E24" s="77"/>
      <c r="F24" s="77"/>
      <c r="G24" s="77"/>
      <c r="H24" s="77"/>
      <c r="I24" s="77">
        <v>0</v>
      </c>
      <c r="J24" s="77">
        <v>0</v>
      </c>
      <c r="K24" s="77"/>
      <c r="L24" s="77">
        <v>0</v>
      </c>
      <c r="M24" s="77">
        <v>0</v>
      </c>
      <c r="N24" s="86">
        <f>O24</f>
        <v>6497</v>
      </c>
      <c r="O24" s="86">
        <f>'Biểu số 02.'!O199</f>
        <v>6497</v>
      </c>
      <c r="P24" s="86"/>
      <c r="Q24" s="86">
        <f t="shared" si="6"/>
        <v>6497</v>
      </c>
      <c r="R24" s="77">
        <f t="shared" si="7"/>
        <v>0</v>
      </c>
      <c r="S24" s="86">
        <f>T24+W24</f>
        <v>6497</v>
      </c>
      <c r="T24" s="86">
        <f>+'Biểu số 02.'!V199</f>
        <v>6497</v>
      </c>
      <c r="U24" s="86"/>
      <c r="V24" s="86">
        <f>T24</f>
        <v>6497</v>
      </c>
      <c r="W24" s="77">
        <v>0</v>
      </c>
      <c r="X24" s="86">
        <v>6497</v>
      </c>
      <c r="Y24" s="86">
        <v>6497</v>
      </c>
      <c r="Z24" s="86"/>
      <c r="AA24" s="86">
        <v>6497</v>
      </c>
      <c r="AB24" s="77">
        <v>0</v>
      </c>
      <c r="AC24" s="78"/>
      <c r="AF24" s="83"/>
    </row>
    <row r="25" spans="1:32" ht="50.25" customHeight="1">
      <c r="A25" s="75">
        <v>5</v>
      </c>
      <c r="B25" s="76" t="s">
        <v>262</v>
      </c>
      <c r="C25" s="77"/>
      <c r="D25" s="77"/>
      <c r="E25" s="77"/>
      <c r="F25" s="77"/>
      <c r="G25" s="77"/>
      <c r="H25" s="77"/>
      <c r="I25" s="77"/>
      <c r="J25" s="77"/>
      <c r="K25" s="77"/>
      <c r="L25" s="77"/>
      <c r="M25" s="77">
        <v>0</v>
      </c>
      <c r="N25" s="86">
        <v>3532</v>
      </c>
      <c r="O25" s="86">
        <f>'Biểu số 02.'!O210</f>
        <v>3532</v>
      </c>
      <c r="P25" s="86"/>
      <c r="Q25" s="86">
        <f t="shared" si="6"/>
        <v>3532</v>
      </c>
      <c r="R25" s="77">
        <f t="shared" si="7"/>
        <v>0</v>
      </c>
      <c r="S25" s="86">
        <f>T25+W25</f>
        <v>3532</v>
      </c>
      <c r="T25" s="86">
        <f>+'Biểu số 02.'!V210</f>
        <v>3532</v>
      </c>
      <c r="U25" s="86"/>
      <c r="V25" s="86">
        <f>T25</f>
        <v>3532</v>
      </c>
      <c r="W25" s="77">
        <v>0</v>
      </c>
      <c r="X25" s="86">
        <v>3532</v>
      </c>
      <c r="Y25" s="86">
        <v>3532</v>
      </c>
      <c r="Z25" s="86"/>
      <c r="AA25" s="86">
        <v>3532</v>
      </c>
      <c r="AB25" s="77">
        <v>0</v>
      </c>
      <c r="AC25" s="78"/>
      <c r="AF25" s="83"/>
    </row>
    <row r="26" spans="1:32" ht="73.5" customHeight="1">
      <c r="A26" s="75">
        <v>6</v>
      </c>
      <c r="B26" s="76" t="s">
        <v>232</v>
      </c>
      <c r="C26" s="77"/>
      <c r="D26" s="77"/>
      <c r="E26" s="77"/>
      <c r="F26" s="77"/>
      <c r="G26" s="77"/>
      <c r="H26" s="77"/>
      <c r="I26" s="77"/>
      <c r="J26" s="77">
        <v>0</v>
      </c>
      <c r="K26" s="77"/>
      <c r="L26" s="77">
        <f>I26</f>
        <v>0</v>
      </c>
      <c r="M26" s="77">
        <v>0</v>
      </c>
      <c r="N26" s="86">
        <f>O26</f>
        <v>1004</v>
      </c>
      <c r="O26" s="86">
        <f>'Biểu số 02.'!O219</f>
        <v>1004</v>
      </c>
      <c r="P26" s="86"/>
      <c r="Q26" s="86">
        <f t="shared" si="6"/>
        <v>1004</v>
      </c>
      <c r="R26" s="77">
        <f t="shared" si="7"/>
        <v>0</v>
      </c>
      <c r="S26" s="86">
        <f>T26</f>
        <v>2306</v>
      </c>
      <c r="T26" s="86">
        <f>+'Biểu số 02.'!V219</f>
        <v>2306</v>
      </c>
      <c r="U26" s="86"/>
      <c r="V26" s="86">
        <f>T26</f>
        <v>2306</v>
      </c>
      <c r="W26" s="77">
        <v>0</v>
      </c>
      <c r="X26" s="86">
        <v>2306</v>
      </c>
      <c r="Y26" s="86">
        <v>2306</v>
      </c>
      <c r="Z26" s="86"/>
      <c r="AA26" s="86">
        <v>2306</v>
      </c>
      <c r="AB26" s="77">
        <v>0</v>
      </c>
      <c r="AC26" s="78"/>
      <c r="AF26" s="83"/>
    </row>
    <row r="27" spans="1:32" ht="55.5" customHeight="1">
      <c r="A27" s="75">
        <v>7</v>
      </c>
      <c r="B27" s="76" t="s">
        <v>305</v>
      </c>
      <c r="C27" s="77"/>
      <c r="D27" s="77"/>
      <c r="E27" s="77"/>
      <c r="F27" s="77"/>
      <c r="G27" s="77"/>
      <c r="H27" s="77"/>
      <c r="I27" s="77"/>
      <c r="J27" s="77">
        <v>0</v>
      </c>
      <c r="K27" s="77"/>
      <c r="L27" s="77">
        <v>0</v>
      </c>
      <c r="M27" s="77">
        <v>0</v>
      </c>
      <c r="N27" s="86">
        <f>O27</f>
        <v>1088</v>
      </c>
      <c r="O27" s="86">
        <f>'Biểu số 02.'!O230</f>
        <v>1088</v>
      </c>
      <c r="P27" s="86"/>
      <c r="Q27" s="86">
        <f t="shared" si="6"/>
        <v>1088</v>
      </c>
      <c r="R27" s="77">
        <v>0</v>
      </c>
      <c r="S27" s="86">
        <f>T27</f>
        <v>1088</v>
      </c>
      <c r="T27" s="86">
        <f>+'Biểu số 02.'!V230</f>
        <v>1088</v>
      </c>
      <c r="U27" s="86"/>
      <c r="V27" s="86">
        <f t="shared" si="5"/>
        <v>1088</v>
      </c>
      <c r="W27" s="77">
        <v>0</v>
      </c>
      <c r="X27" s="86">
        <v>1088</v>
      </c>
      <c r="Y27" s="86">
        <v>1088</v>
      </c>
      <c r="Z27" s="86"/>
      <c r="AA27" s="86">
        <v>1088</v>
      </c>
      <c r="AB27" s="77">
        <v>0</v>
      </c>
      <c r="AC27" s="78"/>
      <c r="AF27" s="83"/>
    </row>
    <row r="28" spans="1:32" ht="46.5" customHeight="1">
      <c r="A28" s="75">
        <v>8</v>
      </c>
      <c r="B28" s="76" t="s">
        <v>327</v>
      </c>
      <c r="C28" s="77"/>
      <c r="D28" s="77"/>
      <c r="E28" s="77"/>
      <c r="F28" s="77"/>
      <c r="G28" s="77"/>
      <c r="H28" s="77"/>
      <c r="I28" s="77"/>
      <c r="J28" s="77"/>
      <c r="K28" s="77"/>
      <c r="L28" s="77"/>
      <c r="M28" s="77"/>
      <c r="N28" s="86"/>
      <c r="O28" s="86"/>
      <c r="P28" s="86"/>
      <c r="Q28" s="86"/>
      <c r="R28" s="77"/>
      <c r="S28" s="86">
        <f>T28</f>
        <v>9200</v>
      </c>
      <c r="T28" s="86">
        <f>+'Biểu số 02.'!V240</f>
        <v>9200</v>
      </c>
      <c r="U28" s="86"/>
      <c r="V28" s="86">
        <f>T28</f>
        <v>9200</v>
      </c>
      <c r="W28" s="77">
        <v>0</v>
      </c>
      <c r="X28" s="86">
        <f>Y28</f>
        <v>7830</v>
      </c>
      <c r="Y28" s="86">
        <f>'Biểu số 02.'!AC247</f>
        <v>7830</v>
      </c>
      <c r="Z28" s="86"/>
      <c r="AA28" s="86">
        <f>Y28</f>
        <v>7830</v>
      </c>
      <c r="AB28" s="77">
        <v>0</v>
      </c>
      <c r="AC28" s="78"/>
      <c r="AF28" s="83"/>
    </row>
    <row r="29" spans="1:32" ht="56.25" customHeight="1">
      <c r="A29" s="75">
        <v>9</v>
      </c>
      <c r="B29" s="76" t="s">
        <v>284</v>
      </c>
      <c r="C29" s="77"/>
      <c r="D29" s="77"/>
      <c r="E29" s="77"/>
      <c r="F29" s="77">
        <f>G29</f>
        <v>40234</v>
      </c>
      <c r="G29" s="77">
        <v>40234</v>
      </c>
      <c r="H29" s="77"/>
      <c r="I29" s="77"/>
      <c r="J29" s="77"/>
      <c r="K29" s="77"/>
      <c r="L29" s="77"/>
      <c r="M29" s="77"/>
      <c r="N29" s="86">
        <f>O29+R29</f>
        <v>40233.82</v>
      </c>
      <c r="O29" s="86">
        <f>P29+Q29</f>
        <v>40233.82</v>
      </c>
      <c r="P29" s="86"/>
      <c r="Q29" s="86">
        <f>'[1]NTM'!$T$13</f>
        <v>40233.82</v>
      </c>
      <c r="R29" s="77"/>
      <c r="S29" s="86">
        <f>T29+W29</f>
        <v>55780</v>
      </c>
      <c r="T29" s="86">
        <f>+'[2]NTM'!$BO$14</f>
        <v>55780</v>
      </c>
      <c r="U29" s="86"/>
      <c r="V29" s="86">
        <f>T29</f>
        <v>55780</v>
      </c>
      <c r="W29" s="77"/>
      <c r="X29" s="86">
        <f>Y29+AB29</f>
        <v>55780</v>
      </c>
      <c r="Y29" s="86">
        <f>+'[2]NTM'!$BO$14</f>
        <v>55780</v>
      </c>
      <c r="Z29" s="86"/>
      <c r="AA29" s="86">
        <f>Y29</f>
        <v>55780</v>
      </c>
      <c r="AB29" s="77"/>
      <c r="AC29" s="78"/>
      <c r="AF29" s="83"/>
    </row>
    <row r="30" spans="1:32" ht="42.75" customHeight="1">
      <c r="A30" s="75">
        <v>10</v>
      </c>
      <c r="B30" s="76" t="s">
        <v>285</v>
      </c>
      <c r="C30" s="77"/>
      <c r="D30" s="77"/>
      <c r="E30" s="77"/>
      <c r="F30" s="77">
        <f aca="true" t="shared" si="10" ref="F30:M30">F31+F32</f>
        <v>88880</v>
      </c>
      <c r="G30" s="77">
        <f t="shared" si="10"/>
        <v>88880</v>
      </c>
      <c r="H30" s="77">
        <f t="shared" si="10"/>
        <v>0</v>
      </c>
      <c r="I30" s="77">
        <f t="shared" si="10"/>
        <v>0</v>
      </c>
      <c r="J30" s="77">
        <f t="shared" si="10"/>
        <v>0</v>
      </c>
      <c r="K30" s="77">
        <f t="shared" si="10"/>
        <v>0</v>
      </c>
      <c r="L30" s="77">
        <f t="shared" si="10"/>
        <v>0</v>
      </c>
      <c r="M30" s="77">
        <f t="shared" si="10"/>
        <v>0</v>
      </c>
      <c r="N30" s="86">
        <f>O30+R30</f>
        <v>88880</v>
      </c>
      <c r="O30" s="86">
        <f>P30+Q30</f>
        <v>88880</v>
      </c>
      <c r="P30" s="86">
        <f>P31+P32</f>
        <v>0</v>
      </c>
      <c r="Q30" s="86">
        <f>Q31+Q32</f>
        <v>88880</v>
      </c>
      <c r="R30" s="86">
        <f>R31+R32</f>
        <v>0</v>
      </c>
      <c r="S30" s="86">
        <f>S31</f>
        <v>15134</v>
      </c>
      <c r="T30" s="86">
        <f aca="true" t="shared" si="11" ref="T30:AB30">T31</f>
        <v>15134</v>
      </c>
      <c r="U30" s="86">
        <f t="shared" si="11"/>
        <v>0</v>
      </c>
      <c r="V30" s="86">
        <f t="shared" si="11"/>
        <v>15134</v>
      </c>
      <c r="W30" s="86">
        <f t="shared" si="11"/>
        <v>0</v>
      </c>
      <c r="X30" s="86">
        <f t="shared" si="11"/>
        <v>15134</v>
      </c>
      <c r="Y30" s="86">
        <f t="shared" si="11"/>
        <v>15134</v>
      </c>
      <c r="Z30" s="86">
        <f t="shared" si="11"/>
        <v>0</v>
      </c>
      <c r="AA30" s="86">
        <f t="shared" si="11"/>
        <v>15134</v>
      </c>
      <c r="AB30" s="86">
        <f t="shared" si="11"/>
        <v>0</v>
      </c>
      <c r="AC30" s="78"/>
      <c r="AF30" s="83"/>
    </row>
    <row r="31" spans="1:32" ht="28.5" customHeight="1">
      <c r="A31" s="79" t="s">
        <v>23</v>
      </c>
      <c r="B31" s="76" t="s">
        <v>286</v>
      </c>
      <c r="C31" s="77"/>
      <c r="D31" s="77"/>
      <c r="E31" s="77"/>
      <c r="F31" s="77">
        <v>13789</v>
      </c>
      <c r="G31" s="77">
        <v>13789</v>
      </c>
      <c r="H31" s="77"/>
      <c r="I31" s="77"/>
      <c r="J31" s="77"/>
      <c r="K31" s="77"/>
      <c r="L31" s="77"/>
      <c r="M31" s="77"/>
      <c r="N31" s="86">
        <f>O31+R31</f>
        <v>13789</v>
      </c>
      <c r="O31" s="86">
        <f>P31+Q31</f>
        <v>13789</v>
      </c>
      <c r="P31" s="86"/>
      <c r="Q31" s="86">
        <f>'[1]GNBV'!$P$13</f>
        <v>13789</v>
      </c>
      <c r="R31" s="77"/>
      <c r="S31" s="86">
        <f>T31+W31</f>
        <v>15134</v>
      </c>
      <c r="T31" s="86">
        <f>+'[2]GNBV'!$BB$14</f>
        <v>15134</v>
      </c>
      <c r="U31" s="86"/>
      <c r="V31" s="86">
        <f>T31</f>
        <v>15134</v>
      </c>
      <c r="W31" s="77"/>
      <c r="X31" s="86">
        <f>Y31+AB31</f>
        <v>15134</v>
      </c>
      <c r="Y31" s="86">
        <f>+'[2]GNBV'!$BB$14</f>
        <v>15134</v>
      </c>
      <c r="Z31" s="86"/>
      <c r="AA31" s="86">
        <f>Y31</f>
        <v>15134</v>
      </c>
      <c r="AB31" s="77"/>
      <c r="AC31" s="78"/>
      <c r="AF31" s="83"/>
    </row>
    <row r="32" spans="1:32" ht="45" customHeight="1">
      <c r="A32" s="79" t="s">
        <v>23</v>
      </c>
      <c r="B32" s="76" t="s">
        <v>287</v>
      </c>
      <c r="C32" s="77"/>
      <c r="D32" s="77"/>
      <c r="E32" s="77"/>
      <c r="F32" s="77">
        <v>75091</v>
      </c>
      <c r="G32" s="77">
        <v>75091</v>
      </c>
      <c r="H32" s="77"/>
      <c r="I32" s="77"/>
      <c r="J32" s="77"/>
      <c r="K32" s="77"/>
      <c r="L32" s="77"/>
      <c r="M32" s="77"/>
      <c r="N32" s="86">
        <f>O32+R32</f>
        <v>75091</v>
      </c>
      <c r="O32" s="86">
        <f>P32+Q32</f>
        <v>75091</v>
      </c>
      <c r="P32" s="86"/>
      <c r="Q32" s="86">
        <f>'[1]GNBV'!$P$28</f>
        <v>75091</v>
      </c>
      <c r="R32" s="77"/>
      <c r="S32" s="86">
        <f>T32+W32</f>
        <v>0</v>
      </c>
      <c r="T32" s="86">
        <v>0</v>
      </c>
      <c r="U32" s="86"/>
      <c r="V32" s="86">
        <f>T32</f>
        <v>0</v>
      </c>
      <c r="W32" s="77"/>
      <c r="X32" s="86">
        <f>Y32+AB32</f>
        <v>0</v>
      </c>
      <c r="Y32" s="86">
        <v>0</v>
      </c>
      <c r="Z32" s="86"/>
      <c r="AA32" s="86">
        <f>Y32</f>
        <v>0</v>
      </c>
      <c r="AB32" s="77"/>
      <c r="AC32" s="105" t="s">
        <v>349</v>
      </c>
      <c r="AF32" s="83"/>
    </row>
    <row r="33" spans="1:29" s="82" customFormat="1" ht="48" customHeight="1">
      <c r="A33" s="70" t="s">
        <v>6</v>
      </c>
      <c r="B33" s="73" t="s">
        <v>121</v>
      </c>
      <c r="C33" s="61">
        <f aca="true" t="shared" si="12" ref="C33:R33">C34+C35</f>
        <v>83333</v>
      </c>
      <c r="D33" s="61">
        <f t="shared" si="12"/>
        <v>75000</v>
      </c>
      <c r="E33" s="61">
        <f t="shared" si="12"/>
        <v>8333</v>
      </c>
      <c r="F33" s="61">
        <f t="shared" si="12"/>
        <v>9843</v>
      </c>
      <c r="G33" s="61">
        <f t="shared" si="12"/>
        <v>9843</v>
      </c>
      <c r="H33" s="61">
        <f t="shared" si="12"/>
        <v>0</v>
      </c>
      <c r="I33" s="61">
        <f t="shared" si="12"/>
        <v>83981</v>
      </c>
      <c r="J33" s="61">
        <f t="shared" si="12"/>
        <v>75000</v>
      </c>
      <c r="K33" s="61">
        <f t="shared" si="12"/>
        <v>1204</v>
      </c>
      <c r="L33" s="61">
        <f t="shared" si="12"/>
        <v>73796</v>
      </c>
      <c r="M33" s="61">
        <f t="shared" si="12"/>
        <v>8981</v>
      </c>
      <c r="N33" s="100">
        <f>N34+N35</f>
        <v>209011.86801</v>
      </c>
      <c r="O33" s="100">
        <f t="shared" si="12"/>
        <v>209011.86801</v>
      </c>
      <c r="P33" s="100">
        <f t="shared" si="12"/>
        <v>1204</v>
      </c>
      <c r="Q33" s="100">
        <f>Q34+Q35</f>
        <v>207807.86801</v>
      </c>
      <c r="R33" s="61">
        <f t="shared" si="12"/>
        <v>0</v>
      </c>
      <c r="S33" s="100">
        <f>S34+S35</f>
        <v>91738.2</v>
      </c>
      <c r="T33" s="100">
        <f aca="true" t="shared" si="13" ref="T33:AB33">T34+T35</f>
        <v>91738.2</v>
      </c>
      <c r="U33" s="100">
        <f t="shared" si="13"/>
        <v>1204.00299</v>
      </c>
      <c r="V33" s="100">
        <f t="shared" si="13"/>
        <v>90534.19701</v>
      </c>
      <c r="W33" s="100">
        <f t="shared" si="13"/>
        <v>0</v>
      </c>
      <c r="X33" s="100">
        <f t="shared" si="13"/>
        <v>91738.2</v>
      </c>
      <c r="Y33" s="100">
        <f t="shared" si="13"/>
        <v>91738.2</v>
      </c>
      <c r="Z33" s="100">
        <f t="shared" si="13"/>
        <v>1204.00299</v>
      </c>
      <c r="AA33" s="100">
        <f t="shared" si="13"/>
        <v>90534.19701</v>
      </c>
      <c r="AB33" s="100">
        <f t="shared" si="13"/>
        <v>0</v>
      </c>
      <c r="AC33" s="74"/>
    </row>
    <row r="34" spans="1:34" ht="51" customHeight="1">
      <c r="A34" s="75">
        <v>1</v>
      </c>
      <c r="B34" s="76" t="s">
        <v>135</v>
      </c>
      <c r="C34" s="77">
        <v>83333</v>
      </c>
      <c r="D34" s="77">
        <v>75000</v>
      </c>
      <c r="E34" s="77">
        <v>8333</v>
      </c>
      <c r="F34" s="77">
        <v>0</v>
      </c>
      <c r="G34" s="77">
        <v>0</v>
      </c>
      <c r="H34" s="77"/>
      <c r="I34" s="77">
        <f>J34+M34</f>
        <v>83981</v>
      </c>
      <c r="J34" s="77">
        <f>K34+L34</f>
        <v>75000</v>
      </c>
      <c r="K34" s="77">
        <v>1204</v>
      </c>
      <c r="L34" s="77">
        <v>73796</v>
      </c>
      <c r="M34" s="77">
        <v>8981</v>
      </c>
      <c r="N34" s="86">
        <f>O34+R34</f>
        <v>199168.86801</v>
      </c>
      <c r="O34" s="86">
        <f>P34+Q34</f>
        <v>199168.86801</v>
      </c>
      <c r="P34" s="86">
        <v>1204</v>
      </c>
      <c r="Q34" s="86">
        <f>'Biểu số 03'!O13</f>
        <v>197964.86801</v>
      </c>
      <c r="R34" s="77">
        <v>0</v>
      </c>
      <c r="S34" s="86">
        <f>U34+V34</f>
        <v>81895.2</v>
      </c>
      <c r="T34" s="86">
        <f>U34+V34</f>
        <v>81895.2</v>
      </c>
      <c r="U34" s="86">
        <f>'Biểu số 03'!V13</f>
        <v>1204.00299</v>
      </c>
      <c r="V34" s="86">
        <f>'Biểu số 03'!AA13</f>
        <v>80691.19701</v>
      </c>
      <c r="W34" s="77">
        <v>0</v>
      </c>
      <c r="X34" s="86">
        <v>81895.2</v>
      </c>
      <c r="Y34" s="86">
        <v>81895.2</v>
      </c>
      <c r="Z34" s="86">
        <v>1204.00299</v>
      </c>
      <c r="AA34" s="86">
        <v>80691.19701</v>
      </c>
      <c r="AB34" s="77">
        <v>0</v>
      </c>
      <c r="AC34" s="77"/>
      <c r="AH34" s="83"/>
    </row>
    <row r="35" spans="1:34" ht="30" customHeight="1">
      <c r="A35" s="75">
        <v>2</v>
      </c>
      <c r="B35" s="76" t="s">
        <v>201</v>
      </c>
      <c r="C35" s="77"/>
      <c r="D35" s="77"/>
      <c r="E35" s="77"/>
      <c r="F35" s="77">
        <v>9843</v>
      </c>
      <c r="G35" s="77">
        <v>9843</v>
      </c>
      <c r="H35" s="77"/>
      <c r="I35" s="77">
        <v>0</v>
      </c>
      <c r="J35" s="77">
        <v>0</v>
      </c>
      <c r="K35" s="77">
        <v>0</v>
      </c>
      <c r="L35" s="77">
        <v>0</v>
      </c>
      <c r="M35" s="77">
        <f>I35-K35-L35</f>
        <v>0</v>
      </c>
      <c r="N35" s="86">
        <f>O35+R35</f>
        <v>9843</v>
      </c>
      <c r="O35" s="86">
        <f>P35+Q35</f>
        <v>9843</v>
      </c>
      <c r="P35" s="86">
        <v>0</v>
      </c>
      <c r="Q35" s="86">
        <f>'Biểu số 03'!O17</f>
        <v>9843</v>
      </c>
      <c r="R35" s="77">
        <v>0</v>
      </c>
      <c r="S35" s="86">
        <v>9843</v>
      </c>
      <c r="T35" s="86">
        <v>9843</v>
      </c>
      <c r="U35" s="86">
        <v>0</v>
      </c>
      <c r="V35" s="86">
        <v>9843</v>
      </c>
      <c r="W35" s="77">
        <v>0</v>
      </c>
      <c r="X35" s="86">
        <v>9843</v>
      </c>
      <c r="Y35" s="86">
        <v>9843</v>
      </c>
      <c r="Z35" s="86">
        <v>0</v>
      </c>
      <c r="AA35" s="86">
        <v>9843</v>
      </c>
      <c r="AB35" s="77">
        <v>0</v>
      </c>
      <c r="AC35" s="77"/>
      <c r="AH35" s="83"/>
    </row>
    <row r="36" spans="17:27" ht="37.5" customHeight="1">
      <c r="Q36" s="83"/>
      <c r="V36" s="83"/>
      <c r="AA36" s="83"/>
    </row>
    <row r="37" spans="15:25" ht="37.5" customHeight="1">
      <c r="O37" s="83"/>
      <c r="T37" s="83"/>
      <c r="Y37" s="83"/>
    </row>
    <row r="38" spans="15:25" ht="37.5" customHeight="1">
      <c r="O38" s="83"/>
      <c r="T38" s="83"/>
      <c r="Y38" s="83"/>
    </row>
  </sheetData>
  <sheetProtection/>
  <mergeCells count="39">
    <mergeCell ref="Q1:AC1"/>
    <mergeCell ref="A2:AC2"/>
    <mergeCell ref="N5:AC5"/>
    <mergeCell ref="A6:A9"/>
    <mergeCell ref="B6:B9"/>
    <mergeCell ref="J8:J9"/>
    <mergeCell ref="K8:L8"/>
    <mergeCell ref="A3:AC3"/>
    <mergeCell ref="D7:D9"/>
    <mergeCell ref="C7:C9"/>
    <mergeCell ref="I7:I9"/>
    <mergeCell ref="W8:W9"/>
    <mergeCell ref="S6:W6"/>
    <mergeCell ref="H7:H9"/>
    <mergeCell ref="F6:H6"/>
    <mergeCell ref="S7:S9"/>
    <mergeCell ref="T7:W7"/>
    <mergeCell ref="M8:M9"/>
    <mergeCell ref="R8:R9"/>
    <mergeCell ref="A4:AC4"/>
    <mergeCell ref="F7:F9"/>
    <mergeCell ref="N7:N9"/>
    <mergeCell ref="O8:O9"/>
    <mergeCell ref="P8:Q8"/>
    <mergeCell ref="T8:T9"/>
    <mergeCell ref="U8:V8"/>
    <mergeCell ref="AC6:AC9"/>
    <mergeCell ref="E7:E9"/>
    <mergeCell ref="G7:G9"/>
    <mergeCell ref="C6:E6"/>
    <mergeCell ref="X6:AB6"/>
    <mergeCell ref="X7:X9"/>
    <mergeCell ref="Y7:AB7"/>
    <mergeCell ref="Y8:Y9"/>
    <mergeCell ref="Z8:AA8"/>
    <mergeCell ref="AB8:AB9"/>
    <mergeCell ref="I6:R6"/>
    <mergeCell ref="J7:M7"/>
    <mergeCell ref="O7:R7"/>
  </mergeCells>
  <printOptions/>
  <pageMargins left="0.24" right="0.35433070866141736" top="0.3937007874015748" bottom="0.5905511811023623" header="0.31496062992125984" footer="0.1968503937007874"/>
  <pageSetup horizontalDpi="600" verticalDpi="600" orientation="landscape" paperSize="9" scale="82" r:id="rId1"/>
  <headerFooter>
    <oddFooter>&amp;L&amp;9KH ĐTC trung hạn GĐ 2016-2020 (Điều chỉnh)&amp;R&amp;9Trang &amp;P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AL252"/>
  <sheetViews>
    <sheetView view="pageBreakPreview" zoomScale="60" zoomScaleNormal="70" zoomScalePageLayoutView="0" workbookViewId="0" topLeftCell="A1">
      <pane ySplit="9" topLeftCell="A194" activePane="bottomLeft" state="frozen"/>
      <selection pane="topLeft" activeCell="A1" sqref="A1"/>
      <selection pane="bottomLeft" activeCell="A4" sqref="A4:AF4"/>
    </sheetView>
  </sheetViews>
  <sheetFormatPr defaultColWidth="8.88671875" defaultRowHeight="16.5"/>
  <cols>
    <col min="1" max="1" width="5.3359375" style="122" customWidth="1"/>
    <col min="2" max="2" width="63.10546875" style="154" customWidth="1"/>
    <col min="3" max="3" width="14.4453125" style="122" customWidth="1"/>
    <col min="4" max="4" width="10.10546875" style="155" customWidth="1"/>
    <col min="5" max="5" width="8.99609375" style="123" customWidth="1"/>
    <col min="6" max="6" width="11.21484375" style="156" hidden="1" customWidth="1"/>
    <col min="7" max="10" width="11.21484375" style="123" hidden="1" customWidth="1"/>
    <col min="11" max="11" width="16.99609375" style="156" hidden="1" customWidth="1"/>
    <col min="12" max="12" width="8.99609375" style="123" hidden="1" customWidth="1"/>
    <col min="13" max="13" width="19.99609375" style="156" hidden="1" customWidth="1"/>
    <col min="14" max="14" width="10.99609375" style="123" hidden="1" customWidth="1"/>
    <col min="15" max="15" width="10.5546875" style="123" hidden="1" customWidth="1"/>
    <col min="16" max="16" width="9.4453125" style="123" hidden="1" customWidth="1"/>
    <col min="17" max="17" width="8.10546875" style="123" hidden="1" customWidth="1"/>
    <col min="18" max="18" width="16.99609375" style="179" customWidth="1"/>
    <col min="19" max="19" width="9.21484375" style="180" customWidth="1"/>
    <col min="20" max="20" width="16.77734375" style="179" hidden="1" customWidth="1"/>
    <col min="21" max="21" width="10.99609375" style="180" hidden="1" customWidth="1"/>
    <col min="22" max="22" width="11.99609375" style="180" customWidth="1"/>
    <col min="23" max="23" width="12.21484375" style="180" customWidth="1"/>
    <col min="24" max="24" width="8.4453125" style="180" customWidth="1"/>
    <col min="25" max="25" width="15.3359375" style="156" customWidth="1"/>
    <col min="26" max="26" width="9.21484375" style="123" customWidth="1"/>
    <col min="27" max="27" width="16.77734375" style="156" hidden="1" customWidth="1"/>
    <col min="28" max="28" width="10.99609375" style="123" hidden="1" customWidth="1"/>
    <col min="29" max="29" width="11.99609375" style="123" customWidth="1"/>
    <col min="30" max="30" width="12.21484375" style="123" customWidth="1"/>
    <col min="31" max="31" width="8.4453125" style="123" customWidth="1"/>
    <col min="32" max="32" width="31.21484375" style="122" customWidth="1"/>
    <col min="33" max="35" width="8.88671875" style="122" customWidth="1"/>
    <col min="36" max="36" width="14.99609375" style="123" customWidth="1"/>
    <col min="37" max="37" width="8.88671875" style="122" customWidth="1"/>
    <col min="38" max="38" width="42.5546875" style="122" customWidth="1"/>
    <col min="39" max="16384" width="8.88671875" style="122" customWidth="1"/>
  </cols>
  <sheetData>
    <row r="1" spans="1:32" ht="28.5" customHeight="1">
      <c r="A1" s="224" t="s">
        <v>289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32" ht="21" customHeight="1">
      <c r="A2" s="219" t="s">
        <v>322</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18.75" customHeight="1" hidden="1">
      <c r="A3" s="198" t="s">
        <v>323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18.75" customHeight="1">
      <c r="A4" s="198" t="s">
        <v>335</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2" ht="21" customHeight="1">
      <c r="A5" s="124"/>
      <c r="B5" s="124"/>
      <c r="C5" s="124"/>
      <c r="D5" s="124"/>
      <c r="E5" s="124"/>
      <c r="F5" s="124"/>
      <c r="G5" s="124"/>
      <c r="H5" s="124"/>
      <c r="I5" s="124"/>
      <c r="J5" s="124"/>
      <c r="K5" s="124"/>
      <c r="L5" s="124"/>
      <c r="M5" s="124"/>
      <c r="N5" s="124"/>
      <c r="O5" s="124"/>
      <c r="P5" s="124"/>
      <c r="Q5" s="220" t="s">
        <v>268</v>
      </c>
      <c r="R5" s="220"/>
      <c r="S5" s="220"/>
      <c r="T5" s="220"/>
      <c r="U5" s="220"/>
      <c r="V5" s="220"/>
      <c r="W5" s="220"/>
      <c r="X5" s="220"/>
      <c r="Y5" s="220"/>
      <c r="Z5" s="220"/>
      <c r="AA5" s="220"/>
      <c r="AB5" s="220"/>
      <c r="AC5" s="220"/>
      <c r="AD5" s="220"/>
      <c r="AE5" s="220"/>
      <c r="AF5" s="220"/>
    </row>
    <row r="6" spans="1:32" ht="69" customHeight="1">
      <c r="A6" s="209" t="s">
        <v>0</v>
      </c>
      <c r="B6" s="209" t="s">
        <v>7</v>
      </c>
      <c r="C6" s="201" t="s">
        <v>8</v>
      </c>
      <c r="D6" s="201" t="s">
        <v>9</v>
      </c>
      <c r="E6" s="206" t="s">
        <v>10</v>
      </c>
      <c r="F6" s="204" t="s">
        <v>269</v>
      </c>
      <c r="G6" s="218"/>
      <c r="H6" s="218"/>
      <c r="I6" s="218"/>
      <c r="J6" s="205"/>
      <c r="K6" s="204" t="s">
        <v>324</v>
      </c>
      <c r="L6" s="218"/>
      <c r="M6" s="218"/>
      <c r="N6" s="218"/>
      <c r="O6" s="218"/>
      <c r="P6" s="218"/>
      <c r="Q6" s="205"/>
      <c r="R6" s="225" t="s">
        <v>366</v>
      </c>
      <c r="S6" s="226"/>
      <c r="T6" s="226"/>
      <c r="U6" s="226"/>
      <c r="V6" s="226"/>
      <c r="W6" s="226"/>
      <c r="X6" s="227"/>
      <c r="Y6" s="204" t="s">
        <v>352</v>
      </c>
      <c r="Z6" s="218"/>
      <c r="AA6" s="218"/>
      <c r="AB6" s="218"/>
      <c r="AC6" s="218"/>
      <c r="AD6" s="218"/>
      <c r="AE6" s="205"/>
      <c r="AF6" s="209" t="s">
        <v>19</v>
      </c>
    </row>
    <row r="7" spans="1:32" ht="50.25" customHeight="1">
      <c r="A7" s="210"/>
      <c r="B7" s="210"/>
      <c r="C7" s="202"/>
      <c r="D7" s="202"/>
      <c r="E7" s="207"/>
      <c r="F7" s="204" t="s">
        <v>151</v>
      </c>
      <c r="G7" s="205"/>
      <c r="H7" s="204" t="s">
        <v>282</v>
      </c>
      <c r="I7" s="218"/>
      <c r="J7" s="205"/>
      <c r="K7" s="204" t="s">
        <v>151</v>
      </c>
      <c r="L7" s="205"/>
      <c r="M7" s="204" t="s">
        <v>155</v>
      </c>
      <c r="N7" s="205"/>
      <c r="O7" s="204" t="s">
        <v>282</v>
      </c>
      <c r="P7" s="218"/>
      <c r="Q7" s="205"/>
      <c r="R7" s="225" t="s">
        <v>151</v>
      </c>
      <c r="S7" s="227"/>
      <c r="T7" s="225" t="s">
        <v>155</v>
      </c>
      <c r="U7" s="227"/>
      <c r="V7" s="225" t="s">
        <v>282</v>
      </c>
      <c r="W7" s="226"/>
      <c r="X7" s="227"/>
      <c r="Y7" s="204" t="s">
        <v>151</v>
      </c>
      <c r="Z7" s="205"/>
      <c r="AA7" s="204" t="s">
        <v>155</v>
      </c>
      <c r="AB7" s="205"/>
      <c r="AC7" s="204" t="s">
        <v>282</v>
      </c>
      <c r="AD7" s="218"/>
      <c r="AE7" s="205"/>
      <c r="AF7" s="210"/>
    </row>
    <row r="8" spans="1:32" ht="27.75" customHeight="1">
      <c r="A8" s="210"/>
      <c r="B8" s="210"/>
      <c r="C8" s="202"/>
      <c r="D8" s="202"/>
      <c r="E8" s="207"/>
      <c r="F8" s="206" t="s">
        <v>11</v>
      </c>
      <c r="G8" s="206" t="s">
        <v>12</v>
      </c>
      <c r="H8" s="206" t="s">
        <v>16</v>
      </c>
      <c r="I8" s="199" t="s">
        <v>13</v>
      </c>
      <c r="J8" s="200"/>
      <c r="K8" s="206" t="s">
        <v>11</v>
      </c>
      <c r="L8" s="206" t="s">
        <v>12</v>
      </c>
      <c r="M8" s="206" t="s">
        <v>11</v>
      </c>
      <c r="N8" s="206" t="s">
        <v>12</v>
      </c>
      <c r="O8" s="206" t="s">
        <v>16</v>
      </c>
      <c r="P8" s="199" t="s">
        <v>13</v>
      </c>
      <c r="Q8" s="200"/>
      <c r="R8" s="214" t="s">
        <v>11</v>
      </c>
      <c r="S8" s="214" t="s">
        <v>12</v>
      </c>
      <c r="T8" s="214" t="s">
        <v>11</v>
      </c>
      <c r="U8" s="214" t="s">
        <v>12</v>
      </c>
      <c r="V8" s="214" t="s">
        <v>16</v>
      </c>
      <c r="W8" s="216" t="s">
        <v>13</v>
      </c>
      <c r="X8" s="217"/>
      <c r="Y8" s="206" t="s">
        <v>11</v>
      </c>
      <c r="Z8" s="206" t="s">
        <v>12</v>
      </c>
      <c r="AA8" s="206" t="s">
        <v>11</v>
      </c>
      <c r="AB8" s="206" t="s">
        <v>12</v>
      </c>
      <c r="AC8" s="206" t="s">
        <v>16</v>
      </c>
      <c r="AD8" s="199" t="s">
        <v>13</v>
      </c>
      <c r="AE8" s="200"/>
      <c r="AF8" s="210"/>
    </row>
    <row r="9" spans="1:32" ht="93.75" customHeight="1">
      <c r="A9" s="211"/>
      <c r="B9" s="211"/>
      <c r="C9" s="203"/>
      <c r="D9" s="203"/>
      <c r="E9" s="208"/>
      <c r="F9" s="208"/>
      <c r="G9" s="208"/>
      <c r="H9" s="208"/>
      <c r="I9" s="125" t="s">
        <v>17</v>
      </c>
      <c r="J9" s="126" t="s">
        <v>150</v>
      </c>
      <c r="K9" s="208"/>
      <c r="L9" s="208"/>
      <c r="M9" s="208"/>
      <c r="N9" s="208"/>
      <c r="O9" s="208"/>
      <c r="P9" s="125" t="s">
        <v>17</v>
      </c>
      <c r="Q9" s="126" t="s">
        <v>150</v>
      </c>
      <c r="R9" s="215"/>
      <c r="S9" s="215"/>
      <c r="T9" s="215"/>
      <c r="U9" s="215"/>
      <c r="V9" s="215"/>
      <c r="W9" s="166" t="s">
        <v>17</v>
      </c>
      <c r="X9" s="167" t="s">
        <v>150</v>
      </c>
      <c r="Y9" s="208"/>
      <c r="Z9" s="208"/>
      <c r="AA9" s="208"/>
      <c r="AB9" s="208"/>
      <c r="AC9" s="208"/>
      <c r="AD9" s="125" t="s">
        <v>17</v>
      </c>
      <c r="AE9" s="126" t="s">
        <v>150</v>
      </c>
      <c r="AF9" s="211"/>
    </row>
    <row r="10" spans="1:32" ht="29.25" customHeight="1">
      <c r="A10" s="127">
        <v>1</v>
      </c>
      <c r="B10" s="127">
        <v>2</v>
      </c>
      <c r="C10" s="127">
        <v>3</v>
      </c>
      <c r="D10" s="127">
        <v>4</v>
      </c>
      <c r="E10" s="127">
        <v>5</v>
      </c>
      <c r="F10" s="127">
        <v>5</v>
      </c>
      <c r="G10" s="127">
        <v>6</v>
      </c>
      <c r="H10" s="127">
        <v>7</v>
      </c>
      <c r="I10" s="127">
        <v>8</v>
      </c>
      <c r="J10" s="127">
        <v>9</v>
      </c>
      <c r="K10" s="127">
        <v>6</v>
      </c>
      <c r="L10" s="127">
        <v>7</v>
      </c>
      <c r="M10" s="127">
        <v>8</v>
      </c>
      <c r="N10" s="127">
        <v>9</v>
      </c>
      <c r="O10" s="127">
        <v>8</v>
      </c>
      <c r="P10" s="127">
        <v>9</v>
      </c>
      <c r="Q10" s="127">
        <v>10</v>
      </c>
      <c r="R10" s="168">
        <v>6</v>
      </c>
      <c r="S10" s="168">
        <v>7</v>
      </c>
      <c r="T10" s="168">
        <v>8</v>
      </c>
      <c r="U10" s="168">
        <v>9</v>
      </c>
      <c r="V10" s="168">
        <v>8</v>
      </c>
      <c r="W10" s="168">
        <v>9</v>
      </c>
      <c r="X10" s="168">
        <v>10</v>
      </c>
      <c r="Y10" s="127">
        <v>6</v>
      </c>
      <c r="Z10" s="127">
        <v>7</v>
      </c>
      <c r="AA10" s="127">
        <v>8</v>
      </c>
      <c r="AB10" s="127">
        <v>9</v>
      </c>
      <c r="AC10" s="127">
        <v>8</v>
      </c>
      <c r="AD10" s="127">
        <v>9</v>
      </c>
      <c r="AE10" s="127">
        <v>10</v>
      </c>
      <c r="AF10" s="127">
        <v>11</v>
      </c>
    </row>
    <row r="11" spans="1:32" ht="31.5" customHeight="1">
      <c r="A11" s="128"/>
      <c r="B11" s="128" t="s">
        <v>113</v>
      </c>
      <c r="C11" s="128"/>
      <c r="D11" s="129"/>
      <c r="E11" s="125"/>
      <c r="F11" s="126"/>
      <c r="G11" s="125"/>
      <c r="H11" s="125">
        <f aca="true" t="shared" si="0" ref="H11:AE11">H12+H252</f>
        <v>89893</v>
      </c>
      <c r="I11" s="125">
        <f t="shared" si="0"/>
        <v>89893</v>
      </c>
      <c r="J11" s="125">
        <f t="shared" si="0"/>
        <v>0</v>
      </c>
      <c r="K11" s="125">
        <f t="shared" si="0"/>
        <v>0</v>
      </c>
      <c r="L11" s="125">
        <f t="shared" si="0"/>
        <v>0</v>
      </c>
      <c r="M11" s="125">
        <f t="shared" si="0"/>
        <v>0</v>
      </c>
      <c r="N11" s="125">
        <f t="shared" si="0"/>
        <v>175897.93843400004</v>
      </c>
      <c r="O11" s="125">
        <f t="shared" si="0"/>
        <v>171530.30700000003</v>
      </c>
      <c r="P11" s="125">
        <f t="shared" si="0"/>
        <v>171530.30700000003</v>
      </c>
      <c r="Q11" s="125">
        <f t="shared" si="0"/>
        <v>0</v>
      </c>
      <c r="R11" s="166">
        <f t="shared" si="0"/>
        <v>0</v>
      </c>
      <c r="S11" s="166">
        <f t="shared" si="0"/>
        <v>0</v>
      </c>
      <c r="T11" s="166">
        <f t="shared" si="0"/>
        <v>0</v>
      </c>
      <c r="U11" s="166">
        <f t="shared" si="0"/>
        <v>175897.93843400004</v>
      </c>
      <c r="V11" s="166">
        <f t="shared" si="0"/>
        <v>226869.23955555557</v>
      </c>
      <c r="W11" s="166">
        <f t="shared" si="0"/>
        <v>226774.76255555556</v>
      </c>
      <c r="X11" s="166">
        <f t="shared" si="0"/>
        <v>0</v>
      </c>
      <c r="Y11" s="125">
        <f t="shared" si="0"/>
        <v>0</v>
      </c>
      <c r="Z11" s="125">
        <f t="shared" si="0"/>
        <v>0</v>
      </c>
      <c r="AA11" s="125">
        <f t="shared" si="0"/>
        <v>0</v>
      </c>
      <c r="AB11" s="125">
        <f t="shared" si="0"/>
        <v>175897.93843400004</v>
      </c>
      <c r="AC11" s="125">
        <f t="shared" si="0"/>
        <v>225404.76255555556</v>
      </c>
      <c r="AD11" s="125">
        <f t="shared" si="0"/>
        <v>225404.76255555556</v>
      </c>
      <c r="AE11" s="125">
        <f t="shared" si="0"/>
        <v>0</v>
      </c>
      <c r="AF11" s="128"/>
    </row>
    <row r="12" spans="1:32" ht="30" customHeight="1">
      <c r="A12" s="128" t="s">
        <v>76</v>
      </c>
      <c r="B12" s="128" t="s">
        <v>110</v>
      </c>
      <c r="C12" s="128"/>
      <c r="D12" s="129"/>
      <c r="E12" s="125"/>
      <c r="F12" s="126"/>
      <c r="G12" s="125"/>
      <c r="H12" s="125">
        <f aca="true" t="shared" si="1" ref="H12:N12">H13++H141++H185+H199+H219+H230+H210</f>
        <v>85419</v>
      </c>
      <c r="I12" s="125">
        <f t="shared" si="1"/>
        <v>85419</v>
      </c>
      <c r="J12" s="125">
        <f t="shared" si="1"/>
        <v>0</v>
      </c>
      <c r="K12" s="125">
        <f t="shared" si="1"/>
        <v>0</v>
      </c>
      <c r="L12" s="125">
        <f t="shared" si="1"/>
        <v>0</v>
      </c>
      <c r="M12" s="125">
        <f t="shared" si="1"/>
        <v>0</v>
      </c>
      <c r="N12" s="125">
        <f t="shared" si="1"/>
        <v>175897.93843400004</v>
      </c>
      <c r="O12" s="125">
        <f aca="true" t="shared" si="2" ref="O12:X12">O13++O141++O185+O199+O219+O230+O210+O240</f>
        <v>166434.60700000002</v>
      </c>
      <c r="P12" s="125">
        <f t="shared" si="2"/>
        <v>166434.60700000002</v>
      </c>
      <c r="Q12" s="125">
        <f t="shared" si="2"/>
        <v>0</v>
      </c>
      <c r="R12" s="166">
        <f t="shared" si="2"/>
        <v>0</v>
      </c>
      <c r="S12" s="166">
        <f t="shared" si="2"/>
        <v>0</v>
      </c>
      <c r="T12" s="166">
        <f t="shared" si="2"/>
        <v>0</v>
      </c>
      <c r="U12" s="166">
        <f t="shared" si="2"/>
        <v>175897.93843400004</v>
      </c>
      <c r="V12" s="166">
        <f t="shared" si="2"/>
        <v>223107.684</v>
      </c>
      <c r="W12" s="166">
        <f t="shared" si="2"/>
        <v>223013.207</v>
      </c>
      <c r="X12" s="166">
        <f t="shared" si="2"/>
        <v>0</v>
      </c>
      <c r="Y12" s="125">
        <f aca="true" t="shared" si="3" ref="Y12:AE12">Y13++Y141++Y185+Y199+Y219+Y230+Y210+Y240</f>
        <v>0</v>
      </c>
      <c r="Z12" s="125">
        <f t="shared" si="3"/>
        <v>0</v>
      </c>
      <c r="AA12" s="125">
        <f t="shared" si="3"/>
        <v>0</v>
      </c>
      <c r="AB12" s="125">
        <f t="shared" si="3"/>
        <v>175897.93843400004</v>
      </c>
      <c r="AC12" s="125">
        <f t="shared" si="3"/>
        <v>221643.207</v>
      </c>
      <c r="AD12" s="125">
        <f t="shared" si="3"/>
        <v>221643.207</v>
      </c>
      <c r="AE12" s="125">
        <f t="shared" si="3"/>
        <v>0</v>
      </c>
      <c r="AF12" s="128"/>
    </row>
    <row r="13" spans="1:32" ht="30" customHeight="1">
      <c r="A13" s="128" t="s">
        <v>5</v>
      </c>
      <c r="B13" s="129" t="s">
        <v>106</v>
      </c>
      <c r="C13" s="128"/>
      <c r="D13" s="129"/>
      <c r="E13" s="125"/>
      <c r="F13" s="126"/>
      <c r="G13" s="125"/>
      <c r="H13" s="125">
        <f aca="true" t="shared" si="4" ref="H13:X13">H14+H45+H69+H70+H83+H130</f>
        <v>68819</v>
      </c>
      <c r="I13" s="125">
        <f t="shared" si="4"/>
        <v>68819</v>
      </c>
      <c r="J13" s="125">
        <f t="shared" si="4"/>
        <v>0</v>
      </c>
      <c r="K13" s="125">
        <f t="shared" si="4"/>
        <v>0</v>
      </c>
      <c r="L13" s="125">
        <f t="shared" si="4"/>
        <v>0</v>
      </c>
      <c r="M13" s="125">
        <f t="shared" si="4"/>
        <v>0</v>
      </c>
      <c r="N13" s="125">
        <f t="shared" si="4"/>
        <v>138147.89843400003</v>
      </c>
      <c r="O13" s="125">
        <f t="shared" si="4"/>
        <v>96866</v>
      </c>
      <c r="P13" s="125">
        <f t="shared" si="4"/>
        <v>96866</v>
      </c>
      <c r="Q13" s="125">
        <f t="shared" si="4"/>
        <v>0</v>
      </c>
      <c r="R13" s="166">
        <f t="shared" si="4"/>
        <v>0</v>
      </c>
      <c r="S13" s="166">
        <f t="shared" si="4"/>
        <v>0</v>
      </c>
      <c r="T13" s="166">
        <f t="shared" si="4"/>
        <v>0</v>
      </c>
      <c r="U13" s="166">
        <f t="shared" si="4"/>
        <v>138147.89843400003</v>
      </c>
      <c r="V13" s="166">
        <f t="shared" si="4"/>
        <v>96866</v>
      </c>
      <c r="W13" s="166">
        <f t="shared" si="4"/>
        <v>96866</v>
      </c>
      <c r="X13" s="166">
        <f t="shared" si="4"/>
        <v>0</v>
      </c>
      <c r="Y13" s="125">
        <f aca="true" t="shared" si="5" ref="Y13:AE13">Y14+Y45+Y69+Y70+Y83+Y130</f>
        <v>0</v>
      </c>
      <c r="Z13" s="125">
        <f t="shared" si="5"/>
        <v>0</v>
      </c>
      <c r="AA13" s="125">
        <f t="shared" si="5"/>
        <v>0</v>
      </c>
      <c r="AB13" s="125">
        <f t="shared" si="5"/>
        <v>138147.89843400003</v>
      </c>
      <c r="AC13" s="125">
        <f t="shared" si="5"/>
        <v>96866</v>
      </c>
      <c r="AD13" s="125">
        <f t="shared" si="5"/>
        <v>96866</v>
      </c>
      <c r="AE13" s="125">
        <f t="shared" si="5"/>
        <v>0</v>
      </c>
      <c r="AF13" s="128"/>
    </row>
    <row r="14" spans="1:32" ht="40.5" customHeight="1">
      <c r="A14" s="128">
        <v>1</v>
      </c>
      <c r="B14" s="129" t="s">
        <v>78</v>
      </c>
      <c r="C14" s="128"/>
      <c r="D14" s="129"/>
      <c r="E14" s="125"/>
      <c r="F14" s="126"/>
      <c r="G14" s="125"/>
      <c r="H14" s="125">
        <f aca="true" t="shared" si="6" ref="H14:N14">H15+H21</f>
        <v>28566</v>
      </c>
      <c r="I14" s="125">
        <f t="shared" si="6"/>
        <v>28566</v>
      </c>
      <c r="J14" s="125">
        <f t="shared" si="6"/>
        <v>0</v>
      </c>
      <c r="K14" s="125">
        <f t="shared" si="6"/>
        <v>0</v>
      </c>
      <c r="L14" s="125">
        <f t="shared" si="6"/>
        <v>0</v>
      </c>
      <c r="M14" s="125">
        <f t="shared" si="6"/>
        <v>0</v>
      </c>
      <c r="N14" s="125">
        <f t="shared" si="6"/>
        <v>54663.74175900001</v>
      </c>
      <c r="O14" s="125">
        <f>O15+O21</f>
        <v>31740</v>
      </c>
      <c r="P14" s="125">
        <f>P15+P21</f>
        <v>31740</v>
      </c>
      <c r="Q14" s="125">
        <f>Q15+Q21</f>
        <v>0</v>
      </c>
      <c r="R14" s="166">
        <f aca="true" t="shared" si="7" ref="R14:X14">R15+R21</f>
        <v>0</v>
      </c>
      <c r="S14" s="166">
        <f t="shared" si="7"/>
        <v>0</v>
      </c>
      <c r="T14" s="166">
        <f t="shared" si="7"/>
        <v>0</v>
      </c>
      <c r="U14" s="166">
        <f t="shared" si="7"/>
        <v>54663.74175900001</v>
      </c>
      <c r="V14" s="166">
        <f t="shared" si="7"/>
        <v>31739.999999999996</v>
      </c>
      <c r="W14" s="166">
        <f t="shared" si="7"/>
        <v>31739.999999999996</v>
      </c>
      <c r="X14" s="166">
        <f t="shared" si="7"/>
        <v>0</v>
      </c>
      <c r="Y14" s="125">
        <f aca="true" t="shared" si="8" ref="Y14:AE14">Y15+Y21</f>
        <v>0</v>
      </c>
      <c r="Z14" s="125">
        <f t="shared" si="8"/>
        <v>0</v>
      </c>
      <c r="AA14" s="125">
        <f t="shared" si="8"/>
        <v>0</v>
      </c>
      <c r="AB14" s="125">
        <f t="shared" si="8"/>
        <v>54663.74175900001</v>
      </c>
      <c r="AC14" s="125">
        <f t="shared" si="8"/>
        <v>31739.999999999996</v>
      </c>
      <c r="AD14" s="125">
        <f t="shared" si="8"/>
        <v>31739.999999999996</v>
      </c>
      <c r="AE14" s="125">
        <f t="shared" si="8"/>
        <v>0</v>
      </c>
      <c r="AF14" s="128"/>
    </row>
    <row r="15" spans="1:32" ht="35.25" customHeight="1">
      <c r="A15" s="128" t="s">
        <v>90</v>
      </c>
      <c r="B15" s="129" t="s">
        <v>87</v>
      </c>
      <c r="C15" s="128"/>
      <c r="D15" s="129"/>
      <c r="E15" s="125"/>
      <c r="F15" s="126"/>
      <c r="G15" s="125"/>
      <c r="H15" s="125">
        <f aca="true" t="shared" si="9" ref="H15:N15">SUM(H16:H20)</f>
        <v>1245</v>
      </c>
      <c r="I15" s="125">
        <f t="shared" si="9"/>
        <v>1245</v>
      </c>
      <c r="J15" s="125">
        <f t="shared" si="9"/>
        <v>0</v>
      </c>
      <c r="K15" s="125">
        <f t="shared" si="9"/>
        <v>0</v>
      </c>
      <c r="L15" s="125"/>
      <c r="M15" s="125">
        <f t="shared" si="9"/>
        <v>0</v>
      </c>
      <c r="N15" s="125">
        <f t="shared" si="9"/>
        <v>13483.486</v>
      </c>
      <c r="O15" s="125">
        <f>SUM(O16:O20)</f>
        <v>620</v>
      </c>
      <c r="P15" s="125">
        <f>SUM(P16:P20)</f>
        <v>620</v>
      </c>
      <c r="Q15" s="125">
        <f>SUM(Q16:Q20)</f>
        <v>0</v>
      </c>
      <c r="R15" s="166">
        <f>SUM(R16:R20)</f>
        <v>0</v>
      </c>
      <c r="S15" s="166"/>
      <c r="T15" s="166">
        <f aca="true" t="shared" si="10" ref="T15:Y15">SUM(T16:T20)</f>
        <v>0</v>
      </c>
      <c r="U15" s="166">
        <f t="shared" si="10"/>
        <v>13483.486</v>
      </c>
      <c r="V15" s="166">
        <f t="shared" si="10"/>
        <v>620</v>
      </c>
      <c r="W15" s="166">
        <f t="shared" si="10"/>
        <v>620</v>
      </c>
      <c r="X15" s="166">
        <f t="shared" si="10"/>
        <v>0</v>
      </c>
      <c r="Y15" s="125">
        <f t="shared" si="10"/>
        <v>0</v>
      </c>
      <c r="Z15" s="125"/>
      <c r="AA15" s="125">
        <f>SUM(AA16:AA20)</f>
        <v>0</v>
      </c>
      <c r="AB15" s="125">
        <f>SUM(AB16:AB20)</f>
        <v>13483.486</v>
      </c>
      <c r="AC15" s="125">
        <f>SUM(AC16:AC20)</f>
        <v>620</v>
      </c>
      <c r="AD15" s="125">
        <f>SUM(AD16:AD20)</f>
        <v>620</v>
      </c>
      <c r="AE15" s="125">
        <f>SUM(AE16:AE20)</f>
        <v>0</v>
      </c>
      <c r="AF15" s="128"/>
    </row>
    <row r="16" spans="1:36" s="120" customFormat="1" ht="65.25" customHeight="1">
      <c r="A16" s="117" t="s">
        <v>23</v>
      </c>
      <c r="B16" s="118" t="s">
        <v>94</v>
      </c>
      <c r="C16" s="119" t="s">
        <v>21</v>
      </c>
      <c r="D16" s="119" t="s">
        <v>25</v>
      </c>
      <c r="E16" s="116" t="s">
        <v>37</v>
      </c>
      <c r="F16" s="115" t="s">
        <v>167</v>
      </c>
      <c r="G16" s="116">
        <v>1767</v>
      </c>
      <c r="H16" s="116">
        <v>124</v>
      </c>
      <c r="I16" s="116">
        <v>124</v>
      </c>
      <c r="J16" s="116"/>
      <c r="K16" s="115" t="s">
        <v>167</v>
      </c>
      <c r="L16" s="116">
        <v>1767</v>
      </c>
      <c r="M16" s="115" t="s">
        <v>156</v>
      </c>
      <c r="N16" s="116">
        <v>1590</v>
      </c>
      <c r="O16" s="116">
        <v>100</v>
      </c>
      <c r="P16" s="116">
        <v>100</v>
      </c>
      <c r="Q16" s="116"/>
      <c r="R16" s="169" t="s">
        <v>167</v>
      </c>
      <c r="S16" s="170">
        <v>1767</v>
      </c>
      <c r="T16" s="169" t="s">
        <v>156</v>
      </c>
      <c r="U16" s="170">
        <v>1590</v>
      </c>
      <c r="V16" s="170">
        <v>100</v>
      </c>
      <c r="W16" s="170">
        <v>100</v>
      </c>
      <c r="X16" s="170"/>
      <c r="Y16" s="115" t="s">
        <v>372</v>
      </c>
      <c r="Z16" s="116">
        <v>1590</v>
      </c>
      <c r="AA16" s="115" t="s">
        <v>156</v>
      </c>
      <c r="AB16" s="116">
        <v>1590</v>
      </c>
      <c r="AC16" s="116">
        <v>100</v>
      </c>
      <c r="AD16" s="116">
        <v>100</v>
      </c>
      <c r="AE16" s="116"/>
      <c r="AF16" s="119"/>
      <c r="AJ16" s="121"/>
    </row>
    <row r="17" spans="1:36" s="120" customFormat="1" ht="53.25" customHeight="1">
      <c r="A17" s="117" t="s">
        <v>23</v>
      </c>
      <c r="B17" s="118" t="s">
        <v>138</v>
      </c>
      <c r="C17" s="119" t="s">
        <v>21</v>
      </c>
      <c r="D17" s="119" t="s">
        <v>25</v>
      </c>
      <c r="E17" s="119" t="s">
        <v>37</v>
      </c>
      <c r="F17" s="115" t="s">
        <v>167</v>
      </c>
      <c r="G17" s="116">
        <v>2175</v>
      </c>
      <c r="H17" s="116">
        <v>152</v>
      </c>
      <c r="I17" s="116">
        <v>152</v>
      </c>
      <c r="J17" s="116"/>
      <c r="K17" s="115" t="s">
        <v>167</v>
      </c>
      <c r="L17" s="116">
        <v>2175</v>
      </c>
      <c r="M17" s="115" t="s">
        <v>159</v>
      </c>
      <c r="N17" s="116">
        <v>1958</v>
      </c>
      <c r="O17" s="116">
        <v>100</v>
      </c>
      <c r="P17" s="116">
        <v>100</v>
      </c>
      <c r="Q17" s="116"/>
      <c r="R17" s="169" t="s">
        <v>167</v>
      </c>
      <c r="S17" s="170">
        <v>2175</v>
      </c>
      <c r="T17" s="169" t="s">
        <v>159</v>
      </c>
      <c r="U17" s="170">
        <v>1958</v>
      </c>
      <c r="V17" s="170">
        <v>100</v>
      </c>
      <c r="W17" s="170">
        <v>100</v>
      </c>
      <c r="X17" s="170"/>
      <c r="Y17" s="115" t="s">
        <v>373</v>
      </c>
      <c r="Z17" s="116">
        <v>1958</v>
      </c>
      <c r="AA17" s="115" t="s">
        <v>159</v>
      </c>
      <c r="AB17" s="116">
        <v>1958</v>
      </c>
      <c r="AC17" s="116">
        <v>100</v>
      </c>
      <c r="AD17" s="116">
        <v>100</v>
      </c>
      <c r="AE17" s="116"/>
      <c r="AF17" s="119"/>
      <c r="AJ17" s="121"/>
    </row>
    <row r="18" spans="1:36" s="120" customFormat="1" ht="49.5">
      <c r="A18" s="117" t="s">
        <v>23</v>
      </c>
      <c r="B18" s="118" t="s">
        <v>136</v>
      </c>
      <c r="C18" s="119" t="s">
        <v>21</v>
      </c>
      <c r="D18" s="119"/>
      <c r="E18" s="119" t="s">
        <v>38</v>
      </c>
      <c r="F18" s="115" t="s">
        <v>167</v>
      </c>
      <c r="G18" s="116">
        <v>3331</v>
      </c>
      <c r="H18" s="116">
        <v>195</v>
      </c>
      <c r="I18" s="116">
        <v>195</v>
      </c>
      <c r="J18" s="116"/>
      <c r="K18" s="115" t="s">
        <v>167</v>
      </c>
      <c r="L18" s="116">
        <v>3331</v>
      </c>
      <c r="M18" s="115"/>
      <c r="N18" s="116"/>
      <c r="O18" s="116">
        <v>120</v>
      </c>
      <c r="P18" s="116">
        <v>120</v>
      </c>
      <c r="Q18" s="116"/>
      <c r="R18" s="169" t="s">
        <v>167</v>
      </c>
      <c r="S18" s="170">
        <v>3331</v>
      </c>
      <c r="T18" s="169"/>
      <c r="U18" s="170"/>
      <c r="V18" s="170">
        <v>120</v>
      </c>
      <c r="W18" s="170">
        <v>120</v>
      </c>
      <c r="X18" s="170"/>
      <c r="Y18" s="115" t="s">
        <v>374</v>
      </c>
      <c r="Z18" s="116">
        <v>1455.262</v>
      </c>
      <c r="AA18" s="115"/>
      <c r="AB18" s="116"/>
      <c r="AC18" s="116">
        <v>120</v>
      </c>
      <c r="AD18" s="116">
        <v>120</v>
      </c>
      <c r="AE18" s="116"/>
      <c r="AF18" s="119"/>
      <c r="AG18" s="130" t="e">
        <f>#REF!+#REF!</f>
        <v>#REF!</v>
      </c>
      <c r="AJ18" s="121"/>
    </row>
    <row r="19" spans="1:36" s="120" customFormat="1" ht="49.5">
      <c r="A19" s="117" t="s">
        <v>23</v>
      </c>
      <c r="B19" s="118" t="s">
        <v>137</v>
      </c>
      <c r="C19" s="119" t="s">
        <v>21</v>
      </c>
      <c r="D19" s="119" t="s">
        <v>25</v>
      </c>
      <c r="E19" s="119" t="s">
        <v>37</v>
      </c>
      <c r="F19" s="115" t="s">
        <v>167</v>
      </c>
      <c r="G19" s="116">
        <v>4913</v>
      </c>
      <c r="H19" s="116">
        <v>344</v>
      </c>
      <c r="I19" s="116">
        <v>344</v>
      </c>
      <c r="J19" s="116"/>
      <c r="K19" s="115" t="s">
        <v>167</v>
      </c>
      <c r="L19" s="116">
        <v>4913</v>
      </c>
      <c r="M19" s="115" t="s">
        <v>238</v>
      </c>
      <c r="N19" s="116">
        <v>4453.496</v>
      </c>
      <c r="O19" s="116">
        <v>150</v>
      </c>
      <c r="P19" s="116">
        <v>150</v>
      </c>
      <c r="Q19" s="116"/>
      <c r="R19" s="169" t="s">
        <v>167</v>
      </c>
      <c r="S19" s="170">
        <v>4913</v>
      </c>
      <c r="T19" s="169" t="s">
        <v>238</v>
      </c>
      <c r="U19" s="170">
        <v>4453.496</v>
      </c>
      <c r="V19" s="170">
        <v>150</v>
      </c>
      <c r="W19" s="170">
        <v>150</v>
      </c>
      <c r="X19" s="170"/>
      <c r="Y19" s="115" t="s">
        <v>237</v>
      </c>
      <c r="Z19" s="116">
        <v>4453.496</v>
      </c>
      <c r="AA19" s="115" t="s">
        <v>238</v>
      </c>
      <c r="AB19" s="116">
        <v>4453.496</v>
      </c>
      <c r="AC19" s="116">
        <v>150</v>
      </c>
      <c r="AD19" s="116">
        <v>150</v>
      </c>
      <c r="AE19" s="116"/>
      <c r="AF19" s="119"/>
      <c r="AJ19" s="121"/>
    </row>
    <row r="20" spans="1:36" s="120" customFormat="1" ht="69.75" customHeight="1">
      <c r="A20" s="117" t="s">
        <v>23</v>
      </c>
      <c r="B20" s="118" t="s">
        <v>95</v>
      </c>
      <c r="C20" s="119" t="s">
        <v>21</v>
      </c>
      <c r="D20" s="119" t="s">
        <v>25</v>
      </c>
      <c r="E20" s="119" t="s">
        <v>37</v>
      </c>
      <c r="F20" s="115" t="s">
        <v>167</v>
      </c>
      <c r="G20" s="116">
        <v>6145</v>
      </c>
      <c r="H20" s="116">
        <v>430</v>
      </c>
      <c r="I20" s="116">
        <v>430</v>
      </c>
      <c r="J20" s="116"/>
      <c r="K20" s="115" t="s">
        <v>167</v>
      </c>
      <c r="L20" s="116">
        <v>6145</v>
      </c>
      <c r="M20" s="115" t="s">
        <v>169</v>
      </c>
      <c r="N20" s="116">
        <v>5481.99</v>
      </c>
      <c r="O20" s="116">
        <f>P20</f>
        <v>150</v>
      </c>
      <c r="P20" s="116">
        <v>150</v>
      </c>
      <c r="Q20" s="116"/>
      <c r="R20" s="169" t="s">
        <v>167</v>
      </c>
      <c r="S20" s="170">
        <v>6145</v>
      </c>
      <c r="T20" s="169" t="s">
        <v>169</v>
      </c>
      <c r="U20" s="170">
        <v>5481.99</v>
      </c>
      <c r="V20" s="170">
        <f>W20</f>
        <v>150</v>
      </c>
      <c r="W20" s="170">
        <v>150</v>
      </c>
      <c r="X20" s="170"/>
      <c r="Y20" s="115" t="s">
        <v>375</v>
      </c>
      <c r="Z20" s="116">
        <v>5481.99</v>
      </c>
      <c r="AA20" s="115" t="s">
        <v>169</v>
      </c>
      <c r="AB20" s="116">
        <v>5481.99</v>
      </c>
      <c r="AC20" s="116">
        <f>AD20</f>
        <v>150</v>
      </c>
      <c r="AD20" s="116">
        <v>150</v>
      </c>
      <c r="AE20" s="116"/>
      <c r="AF20" s="119"/>
      <c r="AJ20" s="121"/>
    </row>
    <row r="21" spans="1:32" ht="36.75" customHeight="1">
      <c r="A21" s="128" t="s">
        <v>91</v>
      </c>
      <c r="B21" s="129" t="s">
        <v>88</v>
      </c>
      <c r="C21" s="128"/>
      <c r="D21" s="129"/>
      <c r="E21" s="125"/>
      <c r="F21" s="126"/>
      <c r="G21" s="125"/>
      <c r="H21" s="125">
        <f aca="true" t="shared" si="11" ref="H21:N21">H22+H25</f>
        <v>27321</v>
      </c>
      <c r="I21" s="125">
        <f t="shared" si="11"/>
        <v>27321</v>
      </c>
      <c r="J21" s="125">
        <f t="shared" si="11"/>
        <v>0</v>
      </c>
      <c r="K21" s="125">
        <f t="shared" si="11"/>
        <v>0</v>
      </c>
      <c r="L21" s="125">
        <f t="shared" si="11"/>
        <v>0</v>
      </c>
      <c r="M21" s="125">
        <f t="shared" si="11"/>
        <v>0</v>
      </c>
      <c r="N21" s="125">
        <f t="shared" si="11"/>
        <v>41180.25575900001</v>
      </c>
      <c r="O21" s="125">
        <f>O22+O25</f>
        <v>31120</v>
      </c>
      <c r="P21" s="125">
        <f>P22+P25</f>
        <v>31120</v>
      </c>
      <c r="Q21" s="125">
        <f>Q22+Q25</f>
        <v>0</v>
      </c>
      <c r="R21" s="166">
        <f aca="true" t="shared" si="12" ref="R21:X21">R22+R25</f>
        <v>0</v>
      </c>
      <c r="S21" s="166">
        <f t="shared" si="12"/>
        <v>0</v>
      </c>
      <c r="T21" s="166">
        <f t="shared" si="12"/>
        <v>0</v>
      </c>
      <c r="U21" s="166">
        <f t="shared" si="12"/>
        <v>41180.25575900001</v>
      </c>
      <c r="V21" s="166">
        <f t="shared" si="12"/>
        <v>31119.999999999996</v>
      </c>
      <c r="W21" s="166">
        <f t="shared" si="12"/>
        <v>31119.999999999996</v>
      </c>
      <c r="X21" s="166">
        <f t="shared" si="12"/>
        <v>0</v>
      </c>
      <c r="Y21" s="125">
        <f aca="true" t="shared" si="13" ref="Y21:AE21">Y22+Y25</f>
        <v>0</v>
      </c>
      <c r="Z21" s="125">
        <f t="shared" si="13"/>
        <v>0</v>
      </c>
      <c r="AA21" s="125">
        <f t="shared" si="13"/>
        <v>0</v>
      </c>
      <c r="AB21" s="125">
        <f t="shared" si="13"/>
        <v>41180.25575900001</v>
      </c>
      <c r="AC21" s="125">
        <f t="shared" si="13"/>
        <v>31119.999999999996</v>
      </c>
      <c r="AD21" s="125">
        <f t="shared" si="13"/>
        <v>31119.999999999996</v>
      </c>
      <c r="AE21" s="125">
        <f t="shared" si="13"/>
        <v>0</v>
      </c>
      <c r="AF21" s="128"/>
    </row>
    <row r="22" spans="1:32" ht="40.5" customHeight="1">
      <c r="A22" s="128" t="s">
        <v>77</v>
      </c>
      <c r="B22" s="129" t="s">
        <v>83</v>
      </c>
      <c r="C22" s="128"/>
      <c r="D22" s="129"/>
      <c r="E22" s="125"/>
      <c r="F22" s="126"/>
      <c r="G22" s="125"/>
      <c r="H22" s="125"/>
      <c r="I22" s="125"/>
      <c r="J22" s="125"/>
      <c r="K22" s="126"/>
      <c r="L22" s="125"/>
      <c r="M22" s="126"/>
      <c r="N22" s="125"/>
      <c r="O22" s="125">
        <v>0</v>
      </c>
      <c r="P22" s="125"/>
      <c r="Q22" s="125"/>
      <c r="R22" s="167"/>
      <c r="S22" s="166"/>
      <c r="T22" s="167"/>
      <c r="U22" s="166"/>
      <c r="V22" s="166">
        <v>0</v>
      </c>
      <c r="W22" s="166"/>
      <c r="X22" s="166"/>
      <c r="Y22" s="126"/>
      <c r="Z22" s="125"/>
      <c r="AA22" s="126"/>
      <c r="AB22" s="125"/>
      <c r="AC22" s="125">
        <v>0</v>
      </c>
      <c r="AD22" s="125"/>
      <c r="AE22" s="125"/>
      <c r="AF22" s="128"/>
    </row>
    <row r="23" spans="1:32" ht="30" customHeight="1">
      <c r="A23" s="128" t="s">
        <v>92</v>
      </c>
      <c r="B23" s="129" t="s">
        <v>84</v>
      </c>
      <c r="C23" s="128"/>
      <c r="D23" s="129"/>
      <c r="E23" s="125"/>
      <c r="F23" s="126"/>
      <c r="G23" s="125"/>
      <c r="H23" s="125"/>
      <c r="I23" s="125"/>
      <c r="J23" s="125"/>
      <c r="K23" s="126"/>
      <c r="L23" s="125"/>
      <c r="M23" s="126"/>
      <c r="N23" s="125"/>
      <c r="O23" s="125"/>
      <c r="P23" s="125"/>
      <c r="Q23" s="125"/>
      <c r="R23" s="167"/>
      <c r="S23" s="166"/>
      <c r="T23" s="167"/>
      <c r="U23" s="166"/>
      <c r="V23" s="166"/>
      <c r="W23" s="166"/>
      <c r="X23" s="166"/>
      <c r="Y23" s="126"/>
      <c r="Z23" s="125"/>
      <c r="AA23" s="126"/>
      <c r="AB23" s="125"/>
      <c r="AC23" s="125"/>
      <c r="AD23" s="125"/>
      <c r="AE23" s="125"/>
      <c r="AF23" s="128"/>
    </row>
    <row r="24" spans="1:32" ht="31.5" customHeight="1">
      <c r="A24" s="128" t="s">
        <v>93</v>
      </c>
      <c r="B24" s="129" t="s">
        <v>85</v>
      </c>
      <c r="C24" s="128"/>
      <c r="D24" s="129"/>
      <c r="E24" s="125"/>
      <c r="F24" s="126"/>
      <c r="G24" s="125"/>
      <c r="H24" s="125"/>
      <c r="I24" s="125"/>
      <c r="J24" s="125"/>
      <c r="K24" s="126"/>
      <c r="L24" s="125"/>
      <c r="M24" s="126"/>
      <c r="N24" s="125"/>
      <c r="O24" s="125"/>
      <c r="P24" s="125"/>
      <c r="Q24" s="125"/>
      <c r="R24" s="167"/>
      <c r="S24" s="166"/>
      <c r="T24" s="167"/>
      <c r="U24" s="166"/>
      <c r="V24" s="166"/>
      <c r="W24" s="166"/>
      <c r="X24" s="166"/>
      <c r="Y24" s="126"/>
      <c r="Z24" s="125"/>
      <c r="AA24" s="126"/>
      <c r="AB24" s="125"/>
      <c r="AC24" s="125"/>
      <c r="AD24" s="125"/>
      <c r="AE24" s="125"/>
      <c r="AF24" s="128"/>
    </row>
    <row r="25" spans="1:32" ht="35.25" customHeight="1">
      <c r="A25" s="128" t="s">
        <v>79</v>
      </c>
      <c r="B25" s="129" t="s">
        <v>86</v>
      </c>
      <c r="C25" s="128"/>
      <c r="D25" s="129"/>
      <c r="E25" s="125"/>
      <c r="F25" s="126"/>
      <c r="G25" s="125"/>
      <c r="H25" s="125">
        <f aca="true" t="shared" si="14" ref="H25:N25">H26+H44</f>
        <v>27321</v>
      </c>
      <c r="I25" s="125">
        <f t="shared" si="14"/>
        <v>27321</v>
      </c>
      <c r="J25" s="125">
        <f t="shared" si="14"/>
        <v>0</v>
      </c>
      <c r="K25" s="125">
        <f t="shared" si="14"/>
        <v>0</v>
      </c>
      <c r="L25" s="125">
        <f t="shared" si="14"/>
        <v>0</v>
      </c>
      <c r="M25" s="125">
        <f t="shared" si="14"/>
        <v>0</v>
      </c>
      <c r="N25" s="125">
        <f t="shared" si="14"/>
        <v>41180.25575900001</v>
      </c>
      <c r="O25" s="125">
        <f>O26+O44</f>
        <v>31120</v>
      </c>
      <c r="P25" s="125">
        <f>P26+P44</f>
        <v>31120</v>
      </c>
      <c r="Q25" s="125">
        <f>Q26+Q44</f>
        <v>0</v>
      </c>
      <c r="R25" s="166">
        <f aca="true" t="shared" si="15" ref="R25:X25">R26+R44</f>
        <v>0</v>
      </c>
      <c r="S25" s="166">
        <f t="shared" si="15"/>
        <v>0</v>
      </c>
      <c r="T25" s="166">
        <f t="shared" si="15"/>
        <v>0</v>
      </c>
      <c r="U25" s="166">
        <f t="shared" si="15"/>
        <v>41180.25575900001</v>
      </c>
      <c r="V25" s="166">
        <f t="shared" si="15"/>
        <v>31119.999999999996</v>
      </c>
      <c r="W25" s="166">
        <f t="shared" si="15"/>
        <v>31119.999999999996</v>
      </c>
      <c r="X25" s="166">
        <f t="shared" si="15"/>
        <v>0</v>
      </c>
      <c r="Y25" s="125">
        <f aca="true" t="shared" si="16" ref="Y25:AE25">Y26+Y44</f>
        <v>0</v>
      </c>
      <c r="Z25" s="125">
        <f t="shared" si="16"/>
        <v>0</v>
      </c>
      <c r="AA25" s="125">
        <f t="shared" si="16"/>
        <v>0</v>
      </c>
      <c r="AB25" s="125">
        <f t="shared" si="16"/>
        <v>41180.25575900001</v>
      </c>
      <c r="AC25" s="125">
        <f t="shared" si="16"/>
        <v>31119.999999999996</v>
      </c>
      <c r="AD25" s="125">
        <f t="shared" si="16"/>
        <v>31119.999999999996</v>
      </c>
      <c r="AE25" s="125">
        <f t="shared" si="16"/>
        <v>0</v>
      </c>
      <c r="AF25" s="125"/>
    </row>
    <row r="26" spans="1:32" ht="30" customHeight="1">
      <c r="A26" s="128" t="s">
        <v>89</v>
      </c>
      <c r="B26" s="129" t="s">
        <v>84</v>
      </c>
      <c r="C26" s="128"/>
      <c r="D26" s="129"/>
      <c r="E26" s="125"/>
      <c r="F26" s="126"/>
      <c r="G26" s="125"/>
      <c r="H26" s="125">
        <f>SUM(H27:H41)</f>
        <v>27321</v>
      </c>
      <c r="I26" s="125">
        <f>SUM(I27:I41)</f>
        <v>27321</v>
      </c>
      <c r="J26" s="125">
        <f>SUM(J27:J41)</f>
        <v>0</v>
      </c>
      <c r="K26" s="125">
        <f>SUM(K27:K41)</f>
        <v>0</v>
      </c>
      <c r="L26" s="125">
        <v>0</v>
      </c>
      <c r="M26" s="125">
        <f>SUM(M27:M42)</f>
        <v>0</v>
      </c>
      <c r="N26" s="125">
        <f>SUM(N27:N42)</f>
        <v>41180.25575900001</v>
      </c>
      <c r="O26" s="125">
        <f aca="true" t="shared" si="17" ref="O26:U26">SUM(O27:O43)</f>
        <v>31120</v>
      </c>
      <c r="P26" s="125">
        <f t="shared" si="17"/>
        <v>31120</v>
      </c>
      <c r="Q26" s="125">
        <f t="shared" si="17"/>
        <v>0</v>
      </c>
      <c r="R26" s="166">
        <f t="shared" si="17"/>
        <v>0</v>
      </c>
      <c r="S26" s="166">
        <v>0</v>
      </c>
      <c r="T26" s="166">
        <f t="shared" si="17"/>
        <v>0</v>
      </c>
      <c r="U26" s="166">
        <f t="shared" si="17"/>
        <v>41180.25575900001</v>
      </c>
      <c r="V26" s="166">
        <f>SUM(V27:V43)</f>
        <v>31119.999999999996</v>
      </c>
      <c r="W26" s="166">
        <f>SUM(W27:W43)</f>
        <v>31119.999999999996</v>
      </c>
      <c r="X26" s="166">
        <f>SUM(X27:X41)</f>
        <v>0</v>
      </c>
      <c r="Y26" s="125">
        <f>SUM(Y27:Y43)</f>
        <v>0</v>
      </c>
      <c r="Z26" s="125">
        <v>0</v>
      </c>
      <c r="AA26" s="125">
        <f>SUM(AA27:AA43)</f>
        <v>0</v>
      </c>
      <c r="AB26" s="125">
        <f>SUM(AB27:AB43)</f>
        <v>41180.25575900001</v>
      </c>
      <c r="AC26" s="125">
        <f>SUM(AC27:AC43)</f>
        <v>31119.999999999996</v>
      </c>
      <c r="AD26" s="125">
        <f>SUM(AD27:AD43)</f>
        <v>31119.999999999996</v>
      </c>
      <c r="AE26" s="125">
        <f>SUM(AE27:AE41)</f>
        <v>0</v>
      </c>
      <c r="AF26" s="128"/>
    </row>
    <row r="27" spans="1:38" s="120" customFormat="1" ht="49.5">
      <c r="A27" s="117" t="s">
        <v>23</v>
      </c>
      <c r="B27" s="118" t="s">
        <v>24</v>
      </c>
      <c r="C27" s="119" t="s">
        <v>21</v>
      </c>
      <c r="D27" s="119" t="s">
        <v>25</v>
      </c>
      <c r="E27" s="119" t="s">
        <v>26</v>
      </c>
      <c r="F27" s="119" t="s">
        <v>157</v>
      </c>
      <c r="G27" s="116">
        <v>5158.721</v>
      </c>
      <c r="H27" s="116">
        <f>I27</f>
        <v>5159</v>
      </c>
      <c r="I27" s="116">
        <v>5159</v>
      </c>
      <c r="J27" s="116"/>
      <c r="K27" s="119" t="s">
        <v>157</v>
      </c>
      <c r="L27" s="116">
        <v>5158.721</v>
      </c>
      <c r="M27" s="115"/>
      <c r="N27" s="116"/>
      <c r="O27" s="116">
        <f>P27</f>
        <v>4379</v>
      </c>
      <c r="P27" s="116">
        <v>4379</v>
      </c>
      <c r="Q27" s="116"/>
      <c r="R27" s="171" t="s">
        <v>157</v>
      </c>
      <c r="S27" s="170">
        <v>5158.721</v>
      </c>
      <c r="T27" s="169"/>
      <c r="U27" s="170"/>
      <c r="V27" s="170">
        <f>W27</f>
        <v>4379</v>
      </c>
      <c r="W27" s="170">
        <v>4379</v>
      </c>
      <c r="X27" s="170"/>
      <c r="Y27" s="119" t="s">
        <v>157</v>
      </c>
      <c r="Z27" s="116">
        <v>5158.721</v>
      </c>
      <c r="AA27" s="115"/>
      <c r="AB27" s="116"/>
      <c r="AC27" s="116">
        <f>AD27</f>
        <v>4379</v>
      </c>
      <c r="AD27" s="116">
        <v>4379</v>
      </c>
      <c r="AE27" s="116"/>
      <c r="AF27" s="119"/>
      <c r="AH27" s="213" t="s">
        <v>160</v>
      </c>
      <c r="AI27" s="213"/>
      <c r="AJ27" s="213"/>
      <c r="AK27" s="213"/>
      <c r="AL27" s="213"/>
    </row>
    <row r="28" spans="1:36" s="120" customFormat="1" ht="49.5">
      <c r="A28" s="117" t="s">
        <v>23</v>
      </c>
      <c r="B28" s="118" t="s">
        <v>29</v>
      </c>
      <c r="C28" s="119" t="s">
        <v>21</v>
      </c>
      <c r="D28" s="119" t="s">
        <v>31</v>
      </c>
      <c r="E28" s="119" t="s">
        <v>161</v>
      </c>
      <c r="F28" s="119" t="s">
        <v>96</v>
      </c>
      <c r="G28" s="116">
        <v>886.5</v>
      </c>
      <c r="H28" s="116">
        <f aca="true" t="shared" si="18" ref="H28:H38">I28</f>
        <v>587</v>
      </c>
      <c r="I28" s="116">
        <v>587</v>
      </c>
      <c r="J28" s="116"/>
      <c r="K28" s="119" t="s">
        <v>96</v>
      </c>
      <c r="L28" s="116">
        <v>886.5</v>
      </c>
      <c r="M28" s="115"/>
      <c r="N28" s="116"/>
      <c r="O28" s="116">
        <f aca="true" t="shared" si="19" ref="O28:O40">P28</f>
        <v>587</v>
      </c>
      <c r="P28" s="116">
        <v>587</v>
      </c>
      <c r="Q28" s="116"/>
      <c r="R28" s="171" t="s">
        <v>96</v>
      </c>
      <c r="S28" s="170">
        <v>886.5</v>
      </c>
      <c r="T28" s="169"/>
      <c r="U28" s="170"/>
      <c r="V28" s="170">
        <f aca="true" t="shared" si="20" ref="V28:V40">W28</f>
        <v>587</v>
      </c>
      <c r="W28" s="170">
        <v>587</v>
      </c>
      <c r="X28" s="170"/>
      <c r="Y28" s="119" t="s">
        <v>96</v>
      </c>
      <c r="Z28" s="116">
        <v>886.5</v>
      </c>
      <c r="AA28" s="115"/>
      <c r="AB28" s="116"/>
      <c r="AC28" s="116">
        <f aca="true" t="shared" si="21" ref="AC28:AC40">AD28</f>
        <v>587</v>
      </c>
      <c r="AD28" s="116">
        <v>587</v>
      </c>
      <c r="AE28" s="116"/>
      <c r="AF28" s="117"/>
      <c r="AI28" s="131"/>
      <c r="AJ28" s="121" t="s">
        <v>222</v>
      </c>
    </row>
    <row r="29" spans="1:36" s="120" customFormat="1" ht="49.5">
      <c r="A29" s="117" t="s">
        <v>23</v>
      </c>
      <c r="B29" s="118" t="s">
        <v>30</v>
      </c>
      <c r="C29" s="119" t="s">
        <v>21</v>
      </c>
      <c r="D29" s="119" t="s">
        <v>31</v>
      </c>
      <c r="E29" s="119">
        <v>2016</v>
      </c>
      <c r="F29" s="119" t="s">
        <v>35</v>
      </c>
      <c r="G29" s="116">
        <v>921.3</v>
      </c>
      <c r="H29" s="116">
        <f t="shared" si="18"/>
        <v>921</v>
      </c>
      <c r="I29" s="116">
        <v>921</v>
      </c>
      <c r="J29" s="116"/>
      <c r="K29" s="119" t="s">
        <v>35</v>
      </c>
      <c r="L29" s="116">
        <v>921.3</v>
      </c>
      <c r="M29" s="115"/>
      <c r="N29" s="116"/>
      <c r="O29" s="116">
        <f t="shared" si="19"/>
        <v>921</v>
      </c>
      <c r="P29" s="116">
        <v>921</v>
      </c>
      <c r="Q29" s="116"/>
      <c r="R29" s="171" t="s">
        <v>35</v>
      </c>
      <c r="S29" s="170">
        <v>921.3</v>
      </c>
      <c r="T29" s="169"/>
      <c r="U29" s="170"/>
      <c r="V29" s="170">
        <f t="shared" si="20"/>
        <v>921</v>
      </c>
      <c r="W29" s="170">
        <v>921</v>
      </c>
      <c r="X29" s="170"/>
      <c r="Y29" s="119" t="s">
        <v>35</v>
      </c>
      <c r="Z29" s="116">
        <v>921.3</v>
      </c>
      <c r="AA29" s="115"/>
      <c r="AB29" s="116"/>
      <c r="AC29" s="116">
        <f t="shared" si="21"/>
        <v>921</v>
      </c>
      <c r="AD29" s="116">
        <v>921</v>
      </c>
      <c r="AE29" s="116"/>
      <c r="AF29" s="132"/>
      <c r="AJ29" s="121"/>
    </row>
    <row r="30" spans="1:38" s="120" customFormat="1" ht="49.5">
      <c r="A30" s="119" t="s">
        <v>23</v>
      </c>
      <c r="B30" s="118" t="s">
        <v>27</v>
      </c>
      <c r="C30" s="119" t="s">
        <v>21</v>
      </c>
      <c r="D30" s="119" t="s">
        <v>25</v>
      </c>
      <c r="E30" s="119" t="s">
        <v>26</v>
      </c>
      <c r="F30" s="119" t="s">
        <v>28</v>
      </c>
      <c r="G30" s="116">
        <v>3632.298345</v>
      </c>
      <c r="H30" s="116">
        <f t="shared" si="18"/>
        <v>1432</v>
      </c>
      <c r="I30" s="116">
        <v>1432</v>
      </c>
      <c r="J30" s="116"/>
      <c r="K30" s="119" t="s">
        <v>28</v>
      </c>
      <c r="L30" s="116">
        <v>3632.298345</v>
      </c>
      <c r="M30" s="115" t="s">
        <v>163</v>
      </c>
      <c r="N30" s="116">
        <v>3632.298739</v>
      </c>
      <c r="O30" s="116">
        <f t="shared" si="19"/>
        <v>841</v>
      </c>
      <c r="P30" s="116">
        <v>841</v>
      </c>
      <c r="Q30" s="116"/>
      <c r="R30" s="171" t="s">
        <v>28</v>
      </c>
      <c r="S30" s="170">
        <v>3632.298345</v>
      </c>
      <c r="T30" s="169" t="s">
        <v>163</v>
      </c>
      <c r="U30" s="170">
        <v>3632.298739</v>
      </c>
      <c r="V30" s="170">
        <f t="shared" si="20"/>
        <v>841</v>
      </c>
      <c r="W30" s="170">
        <v>841</v>
      </c>
      <c r="X30" s="170"/>
      <c r="Y30" s="119" t="s">
        <v>28</v>
      </c>
      <c r="Z30" s="116">
        <v>3632.298345</v>
      </c>
      <c r="AA30" s="115" t="s">
        <v>163</v>
      </c>
      <c r="AB30" s="116">
        <v>3632.298739</v>
      </c>
      <c r="AC30" s="116">
        <f t="shared" si="21"/>
        <v>841</v>
      </c>
      <c r="AD30" s="116">
        <v>841</v>
      </c>
      <c r="AE30" s="116"/>
      <c r="AF30" s="119"/>
      <c r="AH30" s="213" t="s">
        <v>162</v>
      </c>
      <c r="AI30" s="213"/>
      <c r="AJ30" s="213"/>
      <c r="AK30" s="213"/>
      <c r="AL30" s="213"/>
    </row>
    <row r="31" spans="1:36" s="120" customFormat="1" ht="45.75" customHeight="1">
      <c r="A31" s="119" t="s">
        <v>23</v>
      </c>
      <c r="B31" s="118" t="s">
        <v>164</v>
      </c>
      <c r="C31" s="119" t="s">
        <v>21</v>
      </c>
      <c r="D31" s="119" t="s">
        <v>25</v>
      </c>
      <c r="E31" s="119" t="s">
        <v>44</v>
      </c>
      <c r="F31" s="119" t="s">
        <v>36</v>
      </c>
      <c r="G31" s="116">
        <v>4015.314</v>
      </c>
      <c r="H31" s="116">
        <f t="shared" si="18"/>
        <v>3614</v>
      </c>
      <c r="I31" s="116">
        <v>3614</v>
      </c>
      <c r="J31" s="116"/>
      <c r="K31" s="119" t="s">
        <v>36</v>
      </c>
      <c r="L31" s="116">
        <v>4015.314</v>
      </c>
      <c r="M31" s="115" t="s">
        <v>165</v>
      </c>
      <c r="N31" s="116">
        <v>4015.314</v>
      </c>
      <c r="O31" s="116">
        <f t="shared" si="19"/>
        <v>4015</v>
      </c>
      <c r="P31" s="116">
        <v>4015</v>
      </c>
      <c r="Q31" s="116"/>
      <c r="R31" s="171" t="s">
        <v>36</v>
      </c>
      <c r="S31" s="170">
        <v>4015.314</v>
      </c>
      <c r="T31" s="169" t="s">
        <v>165</v>
      </c>
      <c r="U31" s="170">
        <v>4015.314</v>
      </c>
      <c r="V31" s="170">
        <f t="shared" si="20"/>
        <v>4015</v>
      </c>
      <c r="W31" s="170">
        <v>4015</v>
      </c>
      <c r="X31" s="170"/>
      <c r="Y31" s="119" t="s">
        <v>36</v>
      </c>
      <c r="Z31" s="116">
        <v>4015.314</v>
      </c>
      <c r="AA31" s="115" t="s">
        <v>165</v>
      </c>
      <c r="AB31" s="116">
        <v>4015.314</v>
      </c>
      <c r="AC31" s="116">
        <f t="shared" si="21"/>
        <v>4015</v>
      </c>
      <c r="AD31" s="116">
        <v>4015</v>
      </c>
      <c r="AE31" s="116"/>
      <c r="AF31" s="119"/>
      <c r="AH31" s="130" t="e">
        <f>#REF!+#REF!</f>
        <v>#REF!</v>
      </c>
      <c r="AJ31" s="121"/>
    </row>
    <row r="32" spans="1:36" s="120" customFormat="1" ht="63" customHeight="1">
      <c r="A32" s="117" t="s">
        <v>23</v>
      </c>
      <c r="B32" s="118" t="s">
        <v>32</v>
      </c>
      <c r="C32" s="119" t="s">
        <v>21</v>
      </c>
      <c r="D32" s="119" t="s">
        <v>31</v>
      </c>
      <c r="E32" s="119" t="s">
        <v>44</v>
      </c>
      <c r="F32" s="115" t="s">
        <v>34</v>
      </c>
      <c r="G32" s="116">
        <v>2293.440404</v>
      </c>
      <c r="H32" s="116">
        <f t="shared" si="18"/>
        <v>1480</v>
      </c>
      <c r="I32" s="116">
        <v>1480</v>
      </c>
      <c r="J32" s="116"/>
      <c r="K32" s="115" t="s">
        <v>34</v>
      </c>
      <c r="L32" s="116">
        <v>2293.440404</v>
      </c>
      <c r="M32" s="115" t="s">
        <v>166</v>
      </c>
      <c r="N32" s="116">
        <v>2293.440404</v>
      </c>
      <c r="O32" s="116">
        <f t="shared" si="19"/>
        <v>2054</v>
      </c>
      <c r="P32" s="116">
        <v>2054</v>
      </c>
      <c r="Q32" s="116"/>
      <c r="R32" s="169" t="s">
        <v>34</v>
      </c>
      <c r="S32" s="170">
        <v>2293.440404</v>
      </c>
      <c r="T32" s="169" t="s">
        <v>166</v>
      </c>
      <c r="U32" s="170">
        <v>2293.440404</v>
      </c>
      <c r="V32" s="170">
        <f t="shared" si="20"/>
        <v>1844.867</v>
      </c>
      <c r="W32" s="170">
        <f>2054-209.133</f>
        <v>1844.867</v>
      </c>
      <c r="X32" s="170"/>
      <c r="Y32" s="115" t="s">
        <v>34</v>
      </c>
      <c r="Z32" s="116">
        <v>2293.440404</v>
      </c>
      <c r="AA32" s="115" t="s">
        <v>166</v>
      </c>
      <c r="AB32" s="116">
        <v>2293.440404</v>
      </c>
      <c r="AC32" s="116">
        <f t="shared" si="21"/>
        <v>1844.867</v>
      </c>
      <c r="AD32" s="116">
        <f>2054-209.133</f>
        <v>1844.867</v>
      </c>
      <c r="AE32" s="116"/>
      <c r="AF32" s="119" t="s">
        <v>341</v>
      </c>
      <c r="AJ32" s="121"/>
    </row>
    <row r="33" spans="1:36" s="120" customFormat="1" ht="53.25" customHeight="1">
      <c r="A33" s="117" t="s">
        <v>23</v>
      </c>
      <c r="B33" s="118" t="s">
        <v>94</v>
      </c>
      <c r="C33" s="119" t="s">
        <v>21</v>
      </c>
      <c r="D33" s="119" t="s">
        <v>25</v>
      </c>
      <c r="E33" s="116" t="s">
        <v>37</v>
      </c>
      <c r="F33" s="115" t="s">
        <v>167</v>
      </c>
      <c r="G33" s="116">
        <v>1767</v>
      </c>
      <c r="H33" s="116">
        <f t="shared" si="18"/>
        <v>1466</v>
      </c>
      <c r="I33" s="116">
        <v>1466</v>
      </c>
      <c r="J33" s="116"/>
      <c r="K33" s="115" t="s">
        <v>167</v>
      </c>
      <c r="L33" s="116">
        <v>1767</v>
      </c>
      <c r="M33" s="115" t="s">
        <v>156</v>
      </c>
      <c r="N33" s="116">
        <v>1590</v>
      </c>
      <c r="O33" s="116">
        <f t="shared" si="19"/>
        <v>1490</v>
      </c>
      <c r="P33" s="116">
        <v>1490</v>
      </c>
      <c r="Q33" s="116"/>
      <c r="R33" s="169" t="s">
        <v>167</v>
      </c>
      <c r="S33" s="170">
        <v>1767</v>
      </c>
      <c r="T33" s="169" t="s">
        <v>156</v>
      </c>
      <c r="U33" s="170">
        <v>1590</v>
      </c>
      <c r="V33" s="170">
        <f t="shared" si="20"/>
        <v>1490</v>
      </c>
      <c r="W33" s="170">
        <v>1490</v>
      </c>
      <c r="X33" s="170"/>
      <c r="Y33" s="115" t="s">
        <v>372</v>
      </c>
      <c r="Z33" s="116">
        <v>1590</v>
      </c>
      <c r="AA33" s="115" t="s">
        <v>156</v>
      </c>
      <c r="AB33" s="116">
        <v>1590</v>
      </c>
      <c r="AC33" s="116">
        <f t="shared" si="21"/>
        <v>1490</v>
      </c>
      <c r="AD33" s="116">
        <v>1490</v>
      </c>
      <c r="AE33" s="116"/>
      <c r="AF33" s="119"/>
      <c r="AJ33" s="121"/>
    </row>
    <row r="34" spans="1:36" s="120" customFormat="1" ht="52.5" customHeight="1">
      <c r="A34" s="117" t="s">
        <v>23</v>
      </c>
      <c r="B34" s="118" t="s">
        <v>138</v>
      </c>
      <c r="C34" s="119" t="s">
        <v>21</v>
      </c>
      <c r="D34" s="119" t="s">
        <v>25</v>
      </c>
      <c r="E34" s="119" t="s">
        <v>37</v>
      </c>
      <c r="F34" s="115" t="s">
        <v>167</v>
      </c>
      <c r="G34" s="116">
        <v>2175</v>
      </c>
      <c r="H34" s="116">
        <f t="shared" si="18"/>
        <v>1805</v>
      </c>
      <c r="I34" s="116">
        <v>1805</v>
      </c>
      <c r="J34" s="116"/>
      <c r="K34" s="115" t="s">
        <v>167</v>
      </c>
      <c r="L34" s="116">
        <v>2175</v>
      </c>
      <c r="M34" s="115" t="s">
        <v>159</v>
      </c>
      <c r="N34" s="116">
        <v>1958</v>
      </c>
      <c r="O34" s="116">
        <f t="shared" si="19"/>
        <v>1858</v>
      </c>
      <c r="P34" s="116">
        <v>1858</v>
      </c>
      <c r="Q34" s="116"/>
      <c r="R34" s="169" t="s">
        <v>167</v>
      </c>
      <c r="S34" s="170">
        <v>2175</v>
      </c>
      <c r="T34" s="169" t="s">
        <v>159</v>
      </c>
      <c r="U34" s="170">
        <v>1958</v>
      </c>
      <c r="V34" s="170">
        <f t="shared" si="20"/>
        <v>1858</v>
      </c>
      <c r="W34" s="170">
        <v>1858</v>
      </c>
      <c r="X34" s="170"/>
      <c r="Y34" s="115" t="s">
        <v>373</v>
      </c>
      <c r="Z34" s="116">
        <v>1958</v>
      </c>
      <c r="AA34" s="115" t="s">
        <v>159</v>
      </c>
      <c r="AB34" s="116">
        <v>1958</v>
      </c>
      <c r="AC34" s="116">
        <f t="shared" si="21"/>
        <v>1858</v>
      </c>
      <c r="AD34" s="116">
        <v>1858</v>
      </c>
      <c r="AE34" s="116"/>
      <c r="AF34" s="119"/>
      <c r="AJ34" s="121"/>
    </row>
    <row r="35" spans="1:36" s="120" customFormat="1" ht="85.5" customHeight="1">
      <c r="A35" s="117" t="s">
        <v>23</v>
      </c>
      <c r="B35" s="118" t="s">
        <v>136</v>
      </c>
      <c r="C35" s="119" t="s">
        <v>21</v>
      </c>
      <c r="D35" s="119"/>
      <c r="E35" s="119" t="s">
        <v>38</v>
      </c>
      <c r="F35" s="115" t="s">
        <v>167</v>
      </c>
      <c r="G35" s="116">
        <v>3331</v>
      </c>
      <c r="H35" s="116">
        <f t="shared" si="18"/>
        <v>2803</v>
      </c>
      <c r="I35" s="116">
        <v>2803</v>
      </c>
      <c r="J35" s="116"/>
      <c r="K35" s="115" t="s">
        <v>167</v>
      </c>
      <c r="L35" s="116">
        <v>3331</v>
      </c>
      <c r="M35" s="115"/>
      <c r="N35" s="116"/>
      <c r="O35" s="116">
        <f t="shared" si="19"/>
        <v>2878</v>
      </c>
      <c r="P35" s="116">
        <v>2878</v>
      </c>
      <c r="Q35" s="116"/>
      <c r="R35" s="169" t="s">
        <v>167</v>
      </c>
      <c r="S35" s="170">
        <v>3331</v>
      </c>
      <c r="T35" s="169"/>
      <c r="U35" s="170"/>
      <c r="V35" s="170">
        <f t="shared" si="20"/>
        <v>1335</v>
      </c>
      <c r="W35" s="170">
        <f>1423-88</f>
        <v>1335</v>
      </c>
      <c r="X35" s="170"/>
      <c r="Y35" s="115" t="s">
        <v>374</v>
      </c>
      <c r="Z35" s="116">
        <v>1455.262</v>
      </c>
      <c r="AA35" s="115"/>
      <c r="AB35" s="116"/>
      <c r="AC35" s="116">
        <f t="shared" si="21"/>
        <v>1335</v>
      </c>
      <c r="AD35" s="116">
        <f>1423-88</f>
        <v>1335</v>
      </c>
      <c r="AE35" s="116"/>
      <c r="AF35" s="119" t="s">
        <v>340</v>
      </c>
      <c r="AJ35" s="121"/>
    </row>
    <row r="36" spans="1:36" s="120" customFormat="1" ht="49.5">
      <c r="A36" s="133" t="s">
        <v>23</v>
      </c>
      <c r="B36" s="118" t="s">
        <v>137</v>
      </c>
      <c r="C36" s="119" t="s">
        <v>21</v>
      </c>
      <c r="D36" s="119" t="s">
        <v>25</v>
      </c>
      <c r="E36" s="119" t="s">
        <v>37</v>
      </c>
      <c r="F36" s="115" t="s">
        <v>167</v>
      </c>
      <c r="G36" s="116">
        <v>3614</v>
      </c>
      <c r="H36" s="116">
        <f t="shared" si="18"/>
        <v>4078</v>
      </c>
      <c r="I36" s="116">
        <v>4078</v>
      </c>
      <c r="J36" s="116"/>
      <c r="K36" s="115" t="s">
        <v>237</v>
      </c>
      <c r="L36" s="116">
        <v>4453.496</v>
      </c>
      <c r="M36" s="115" t="s">
        <v>238</v>
      </c>
      <c r="N36" s="116">
        <v>4453.496</v>
      </c>
      <c r="O36" s="116">
        <f t="shared" si="19"/>
        <v>4272</v>
      </c>
      <c r="P36" s="116">
        <v>4272</v>
      </c>
      <c r="Q36" s="116"/>
      <c r="R36" s="169" t="s">
        <v>237</v>
      </c>
      <c r="S36" s="170">
        <v>4453.496</v>
      </c>
      <c r="T36" s="169" t="s">
        <v>238</v>
      </c>
      <c r="U36" s="170">
        <v>4453.496</v>
      </c>
      <c r="V36" s="170">
        <f t="shared" si="20"/>
        <v>4272</v>
      </c>
      <c r="W36" s="170">
        <v>4272</v>
      </c>
      <c r="X36" s="170"/>
      <c r="Y36" s="115" t="s">
        <v>237</v>
      </c>
      <c r="Z36" s="116">
        <v>4453.496</v>
      </c>
      <c r="AA36" s="115" t="s">
        <v>238</v>
      </c>
      <c r="AB36" s="116">
        <v>4453.496</v>
      </c>
      <c r="AC36" s="116">
        <f t="shared" si="21"/>
        <v>4272</v>
      </c>
      <c r="AD36" s="116">
        <v>4272</v>
      </c>
      <c r="AE36" s="116"/>
      <c r="AF36" s="119"/>
      <c r="AJ36" s="121"/>
    </row>
    <row r="37" spans="1:36" s="120" customFormat="1" ht="62.25" customHeight="1">
      <c r="A37" s="133" t="s">
        <v>23</v>
      </c>
      <c r="B37" s="118" t="s">
        <v>139</v>
      </c>
      <c r="C37" s="119" t="s">
        <v>21</v>
      </c>
      <c r="D37" s="119" t="s">
        <v>25</v>
      </c>
      <c r="E37" s="119" t="s">
        <v>37</v>
      </c>
      <c r="F37" s="115" t="s">
        <v>167</v>
      </c>
      <c r="G37" s="116">
        <v>4200</v>
      </c>
      <c r="H37" s="116">
        <f t="shared" si="18"/>
        <v>610</v>
      </c>
      <c r="I37" s="116">
        <v>610</v>
      </c>
      <c r="J37" s="116"/>
      <c r="K37" s="115" t="s">
        <v>167</v>
      </c>
      <c r="L37" s="116">
        <v>4200</v>
      </c>
      <c r="M37" s="115" t="s">
        <v>171</v>
      </c>
      <c r="N37" s="116">
        <v>3780</v>
      </c>
      <c r="O37" s="116">
        <f t="shared" si="19"/>
        <v>1409</v>
      </c>
      <c r="P37" s="116">
        <f>610+799</f>
        <v>1409</v>
      </c>
      <c r="Q37" s="116"/>
      <c r="R37" s="169" t="s">
        <v>167</v>
      </c>
      <c r="S37" s="170">
        <v>4200</v>
      </c>
      <c r="T37" s="169" t="s">
        <v>171</v>
      </c>
      <c r="U37" s="170">
        <v>3780</v>
      </c>
      <c r="V37" s="170">
        <f t="shared" si="20"/>
        <v>1409</v>
      </c>
      <c r="W37" s="170">
        <f>610+799</f>
        <v>1409</v>
      </c>
      <c r="X37" s="170"/>
      <c r="Y37" s="115" t="s">
        <v>376</v>
      </c>
      <c r="Z37" s="116">
        <v>3780</v>
      </c>
      <c r="AA37" s="115" t="s">
        <v>171</v>
      </c>
      <c r="AB37" s="116">
        <v>3780</v>
      </c>
      <c r="AC37" s="116">
        <f t="shared" si="21"/>
        <v>1409</v>
      </c>
      <c r="AD37" s="116">
        <f>610+799</f>
        <v>1409</v>
      </c>
      <c r="AE37" s="116"/>
      <c r="AF37" s="119"/>
      <c r="AH37" s="130">
        <f>P37+P123+854</f>
        <v>4514</v>
      </c>
      <c r="AJ37" s="121"/>
    </row>
    <row r="38" spans="1:36" s="120" customFormat="1" ht="56.25" customHeight="1">
      <c r="A38" s="117" t="s">
        <v>23</v>
      </c>
      <c r="B38" s="118" t="s">
        <v>95</v>
      </c>
      <c r="C38" s="119" t="s">
        <v>21</v>
      </c>
      <c r="D38" s="119" t="s">
        <v>25</v>
      </c>
      <c r="E38" s="119" t="s">
        <v>37</v>
      </c>
      <c r="F38" s="115" t="s">
        <v>167</v>
      </c>
      <c r="G38" s="116">
        <v>6145</v>
      </c>
      <c r="H38" s="116">
        <f t="shared" si="18"/>
        <v>3366</v>
      </c>
      <c r="I38" s="116">
        <v>3366</v>
      </c>
      <c r="J38" s="116"/>
      <c r="K38" s="115" t="s">
        <v>167</v>
      </c>
      <c r="L38" s="116">
        <v>6145</v>
      </c>
      <c r="M38" s="115" t="s">
        <v>169</v>
      </c>
      <c r="N38" s="116">
        <v>5481.99</v>
      </c>
      <c r="O38" s="116">
        <f t="shared" si="19"/>
        <v>2670</v>
      </c>
      <c r="P38" s="116">
        <v>2670</v>
      </c>
      <c r="Q38" s="116"/>
      <c r="R38" s="169" t="s">
        <v>167</v>
      </c>
      <c r="S38" s="170">
        <v>6145</v>
      </c>
      <c r="T38" s="169" t="s">
        <v>169</v>
      </c>
      <c r="U38" s="170">
        <v>5481.99</v>
      </c>
      <c r="V38" s="170">
        <f t="shared" si="20"/>
        <v>2670</v>
      </c>
      <c r="W38" s="170">
        <v>2670</v>
      </c>
      <c r="X38" s="170"/>
      <c r="Y38" s="115" t="s">
        <v>375</v>
      </c>
      <c r="Z38" s="116">
        <v>5481.99</v>
      </c>
      <c r="AA38" s="115" t="s">
        <v>169</v>
      </c>
      <c r="AB38" s="116">
        <v>5481.99</v>
      </c>
      <c r="AC38" s="116">
        <f t="shared" si="21"/>
        <v>2670</v>
      </c>
      <c r="AD38" s="116">
        <v>2670</v>
      </c>
      <c r="AE38" s="116"/>
      <c r="AF38" s="119"/>
      <c r="AJ38" s="121"/>
    </row>
    <row r="39" spans="1:38" s="120" customFormat="1" ht="55.5" customHeight="1">
      <c r="A39" s="117" t="s">
        <v>23</v>
      </c>
      <c r="B39" s="118" t="s">
        <v>147</v>
      </c>
      <c r="C39" s="119" t="s">
        <v>21</v>
      </c>
      <c r="D39" s="119" t="s">
        <v>22</v>
      </c>
      <c r="E39" s="119" t="s">
        <v>44</v>
      </c>
      <c r="F39" s="115"/>
      <c r="G39" s="116"/>
      <c r="H39" s="116"/>
      <c r="I39" s="116"/>
      <c r="J39" s="116"/>
      <c r="K39" s="115" t="s">
        <v>172</v>
      </c>
      <c r="L39" s="116">
        <v>9930.145</v>
      </c>
      <c r="M39" s="115" t="s">
        <v>173</v>
      </c>
      <c r="N39" s="116">
        <v>9930.145</v>
      </c>
      <c r="O39" s="116">
        <f t="shared" si="19"/>
        <v>1371</v>
      </c>
      <c r="P39" s="116">
        <v>1371</v>
      </c>
      <c r="Q39" s="116"/>
      <c r="R39" s="169" t="s">
        <v>172</v>
      </c>
      <c r="S39" s="170">
        <v>9930.145</v>
      </c>
      <c r="T39" s="169" t="s">
        <v>173</v>
      </c>
      <c r="U39" s="170">
        <v>9930.145</v>
      </c>
      <c r="V39" s="170">
        <f t="shared" si="20"/>
        <v>1371</v>
      </c>
      <c r="W39" s="170">
        <v>1371</v>
      </c>
      <c r="X39" s="170"/>
      <c r="Y39" s="115" t="s">
        <v>172</v>
      </c>
      <c r="Z39" s="116">
        <v>9930.145</v>
      </c>
      <c r="AA39" s="115" t="s">
        <v>173</v>
      </c>
      <c r="AB39" s="116">
        <v>9930.145</v>
      </c>
      <c r="AC39" s="116">
        <f t="shared" si="21"/>
        <v>1371</v>
      </c>
      <c r="AD39" s="116">
        <v>1371</v>
      </c>
      <c r="AE39" s="116"/>
      <c r="AF39" s="119"/>
      <c r="AH39" s="134" t="s">
        <v>229</v>
      </c>
      <c r="AJ39" s="121" t="s">
        <v>223</v>
      </c>
      <c r="AK39" s="134"/>
      <c r="AL39" s="134"/>
    </row>
    <row r="40" spans="1:36" s="120" customFormat="1" ht="74.25" customHeight="1">
      <c r="A40" s="117" t="s">
        <v>23</v>
      </c>
      <c r="B40" s="118" t="s">
        <v>220</v>
      </c>
      <c r="C40" s="119" t="s">
        <v>21</v>
      </c>
      <c r="D40" s="119" t="s">
        <v>25</v>
      </c>
      <c r="E40" s="115" t="s">
        <v>37</v>
      </c>
      <c r="F40" s="115"/>
      <c r="G40" s="116"/>
      <c r="H40" s="116"/>
      <c r="I40" s="116"/>
      <c r="J40" s="116"/>
      <c r="K40" s="115" t="s">
        <v>239</v>
      </c>
      <c r="L40" s="116">
        <f>4045.571616</f>
        <v>4045.571616</v>
      </c>
      <c r="M40" s="115" t="s">
        <v>240</v>
      </c>
      <c r="N40" s="116">
        <f>L40</f>
        <v>4045.571616</v>
      </c>
      <c r="O40" s="116">
        <f t="shared" si="19"/>
        <v>2320</v>
      </c>
      <c r="P40" s="116">
        <v>2320</v>
      </c>
      <c r="Q40" s="116"/>
      <c r="R40" s="169" t="s">
        <v>239</v>
      </c>
      <c r="S40" s="170">
        <f>4045.571616</f>
        <v>4045.571616</v>
      </c>
      <c r="T40" s="169" t="s">
        <v>240</v>
      </c>
      <c r="U40" s="170">
        <f>S40</f>
        <v>4045.571616</v>
      </c>
      <c r="V40" s="170">
        <f t="shared" si="20"/>
        <v>2320</v>
      </c>
      <c r="W40" s="170">
        <f>2320</f>
        <v>2320</v>
      </c>
      <c r="X40" s="170"/>
      <c r="Y40" s="115" t="s">
        <v>239</v>
      </c>
      <c r="Z40" s="116">
        <f>4045.571616</f>
        <v>4045.571616</v>
      </c>
      <c r="AA40" s="115" t="s">
        <v>240</v>
      </c>
      <c r="AB40" s="116">
        <f>Z40</f>
        <v>4045.571616</v>
      </c>
      <c r="AC40" s="116">
        <f t="shared" si="21"/>
        <v>2320</v>
      </c>
      <c r="AD40" s="116">
        <f>2320</f>
        <v>2320</v>
      </c>
      <c r="AE40" s="116"/>
      <c r="AF40" s="135"/>
      <c r="AJ40" s="121"/>
    </row>
    <row r="41" spans="1:36" s="120" customFormat="1" ht="73.5" customHeight="1" hidden="1">
      <c r="A41" s="117" t="s">
        <v>23</v>
      </c>
      <c r="B41" s="118" t="s">
        <v>314</v>
      </c>
      <c r="C41" s="119" t="s">
        <v>21</v>
      </c>
      <c r="D41" s="119" t="s">
        <v>22</v>
      </c>
      <c r="E41" s="119" t="s">
        <v>38</v>
      </c>
      <c r="F41" s="115"/>
      <c r="G41" s="116"/>
      <c r="H41" s="116"/>
      <c r="I41" s="116"/>
      <c r="J41" s="116"/>
      <c r="K41" s="115" t="s">
        <v>255</v>
      </c>
      <c r="L41" s="116">
        <v>546</v>
      </c>
      <c r="M41" s="115"/>
      <c r="N41" s="116"/>
      <c r="O41" s="116">
        <f>P41</f>
        <v>55</v>
      </c>
      <c r="P41" s="116">
        <v>55</v>
      </c>
      <c r="Q41" s="116"/>
      <c r="R41" s="169"/>
      <c r="S41" s="170"/>
      <c r="T41" s="169"/>
      <c r="U41" s="170"/>
      <c r="V41" s="170"/>
      <c r="W41" s="170"/>
      <c r="X41" s="170"/>
      <c r="Y41" s="115"/>
      <c r="Z41" s="116"/>
      <c r="AA41" s="115"/>
      <c r="AB41" s="116"/>
      <c r="AC41" s="116"/>
      <c r="AD41" s="116"/>
      <c r="AE41" s="116"/>
      <c r="AF41" s="135" t="s">
        <v>339</v>
      </c>
      <c r="AG41" s="130"/>
      <c r="AJ41" s="121"/>
    </row>
    <row r="42" spans="1:36" s="120" customFormat="1" ht="88.5" customHeight="1">
      <c r="A42" s="117" t="s">
        <v>23</v>
      </c>
      <c r="B42" s="118" t="s">
        <v>338</v>
      </c>
      <c r="C42" s="119" t="s">
        <v>21</v>
      </c>
      <c r="D42" s="119" t="s">
        <v>22</v>
      </c>
      <c r="E42" s="119" t="s">
        <v>140</v>
      </c>
      <c r="F42" s="115"/>
      <c r="G42" s="116"/>
      <c r="H42" s="116"/>
      <c r="I42" s="116"/>
      <c r="J42" s="116"/>
      <c r="K42" s="115"/>
      <c r="L42" s="116"/>
      <c r="M42" s="115"/>
      <c r="N42" s="116"/>
      <c r="O42" s="116"/>
      <c r="P42" s="116"/>
      <c r="Q42" s="116"/>
      <c r="R42" s="169" t="s">
        <v>255</v>
      </c>
      <c r="S42" s="170">
        <v>2202.624</v>
      </c>
      <c r="T42" s="169"/>
      <c r="U42" s="170"/>
      <c r="V42" s="170">
        <f>W42</f>
        <v>1748.5140000000001</v>
      </c>
      <c r="W42" s="170">
        <f>1455+88+55+209.133-58.619</f>
        <v>1748.5140000000001</v>
      </c>
      <c r="X42" s="170"/>
      <c r="Y42" s="115" t="s">
        <v>377</v>
      </c>
      <c r="Z42" s="116">
        <v>3612.616839</v>
      </c>
      <c r="AA42" s="115"/>
      <c r="AB42" s="116"/>
      <c r="AC42" s="116">
        <f>AD42</f>
        <v>1748.5140000000001</v>
      </c>
      <c r="AD42" s="116">
        <f>1455+88+55+209.133-58.619</f>
        <v>1748.5140000000001</v>
      </c>
      <c r="AE42" s="116"/>
      <c r="AF42" s="135" t="s">
        <v>353</v>
      </c>
      <c r="AG42" s="130"/>
      <c r="AJ42" s="121"/>
    </row>
    <row r="43" spans="1:36" s="120" customFormat="1" ht="108" customHeight="1">
      <c r="A43" s="117" t="s">
        <v>23</v>
      </c>
      <c r="B43" s="118" t="s">
        <v>315</v>
      </c>
      <c r="C43" s="119" t="s">
        <v>21</v>
      </c>
      <c r="D43" s="119" t="s">
        <v>25</v>
      </c>
      <c r="E43" s="115" t="s">
        <v>37</v>
      </c>
      <c r="F43" s="115"/>
      <c r="G43" s="116"/>
      <c r="H43" s="116"/>
      <c r="I43" s="116">
        <f>H43</f>
        <v>0</v>
      </c>
      <c r="J43" s="116"/>
      <c r="K43" s="115"/>
      <c r="L43" s="116"/>
      <c r="M43" s="115"/>
      <c r="N43" s="116"/>
      <c r="O43" s="116"/>
      <c r="P43" s="116"/>
      <c r="Q43" s="116"/>
      <c r="R43" s="169" t="s">
        <v>259</v>
      </c>
      <c r="S43" s="170">
        <v>503.505903</v>
      </c>
      <c r="T43" s="169"/>
      <c r="U43" s="170"/>
      <c r="V43" s="170">
        <f>W43</f>
        <v>58.619</v>
      </c>
      <c r="W43" s="170">
        <v>58.619</v>
      </c>
      <c r="X43" s="170"/>
      <c r="Y43" s="115" t="s">
        <v>259</v>
      </c>
      <c r="Z43" s="116">
        <v>503.505903</v>
      </c>
      <c r="AA43" s="115"/>
      <c r="AB43" s="116"/>
      <c r="AC43" s="116">
        <f>AD43</f>
        <v>58.619</v>
      </c>
      <c r="AD43" s="116">
        <v>58.619</v>
      </c>
      <c r="AE43" s="116"/>
      <c r="AF43" s="135" t="s">
        <v>345</v>
      </c>
      <c r="AJ43" s="121"/>
    </row>
    <row r="44" spans="1:32" ht="32.25" customHeight="1">
      <c r="A44" s="128" t="s">
        <v>97</v>
      </c>
      <c r="B44" s="129" t="s">
        <v>101</v>
      </c>
      <c r="C44" s="128"/>
      <c r="D44" s="129"/>
      <c r="E44" s="125"/>
      <c r="F44" s="126"/>
      <c r="G44" s="125"/>
      <c r="H44" s="125"/>
      <c r="I44" s="125"/>
      <c r="J44" s="125"/>
      <c r="K44" s="126"/>
      <c r="L44" s="125"/>
      <c r="M44" s="126"/>
      <c r="N44" s="125"/>
      <c r="O44" s="125"/>
      <c r="P44" s="125"/>
      <c r="Q44" s="125"/>
      <c r="R44" s="167"/>
      <c r="S44" s="166"/>
      <c r="T44" s="167"/>
      <c r="U44" s="166"/>
      <c r="V44" s="166"/>
      <c r="W44" s="166"/>
      <c r="X44" s="166"/>
      <c r="Y44" s="126"/>
      <c r="Z44" s="125"/>
      <c r="AA44" s="126"/>
      <c r="AB44" s="125"/>
      <c r="AC44" s="125"/>
      <c r="AD44" s="125"/>
      <c r="AE44" s="125"/>
      <c r="AF44" s="128"/>
    </row>
    <row r="45" spans="1:32" ht="33" customHeight="1">
      <c r="A45" s="128">
        <v>2</v>
      </c>
      <c r="B45" s="128" t="s">
        <v>80</v>
      </c>
      <c r="C45" s="128"/>
      <c r="D45" s="129"/>
      <c r="E45" s="125"/>
      <c r="F45" s="126"/>
      <c r="G45" s="125"/>
      <c r="H45" s="125">
        <f aca="true" t="shared" si="22" ref="H45:N45">H46+H53</f>
        <v>12313</v>
      </c>
      <c r="I45" s="125">
        <f t="shared" si="22"/>
        <v>12313</v>
      </c>
      <c r="J45" s="125">
        <f t="shared" si="22"/>
        <v>0</v>
      </c>
      <c r="K45" s="125">
        <f t="shared" si="22"/>
        <v>0</v>
      </c>
      <c r="L45" s="125">
        <f t="shared" si="22"/>
        <v>0</v>
      </c>
      <c r="M45" s="125">
        <f t="shared" si="22"/>
        <v>0</v>
      </c>
      <c r="N45" s="125">
        <f t="shared" si="22"/>
        <v>20940.362006</v>
      </c>
      <c r="O45" s="125">
        <f>O46+O53</f>
        <v>14999.999999999998</v>
      </c>
      <c r="P45" s="125">
        <f>P46+P53</f>
        <v>14999.999999999998</v>
      </c>
      <c r="Q45" s="125">
        <f>Q46+Q53</f>
        <v>0</v>
      </c>
      <c r="R45" s="166">
        <f aca="true" t="shared" si="23" ref="R45:X45">R46+R53</f>
        <v>0</v>
      </c>
      <c r="S45" s="166">
        <f t="shared" si="23"/>
        <v>0</v>
      </c>
      <c r="T45" s="166">
        <f t="shared" si="23"/>
        <v>0</v>
      </c>
      <c r="U45" s="166">
        <f t="shared" si="23"/>
        <v>20940.362006</v>
      </c>
      <c r="V45" s="166">
        <f t="shared" si="23"/>
        <v>15000</v>
      </c>
      <c r="W45" s="166">
        <f t="shared" si="23"/>
        <v>15000</v>
      </c>
      <c r="X45" s="166">
        <f t="shared" si="23"/>
        <v>0</v>
      </c>
      <c r="Y45" s="125">
        <f aca="true" t="shared" si="24" ref="Y45:AE45">Y46+Y53</f>
        <v>0</v>
      </c>
      <c r="Z45" s="125">
        <f t="shared" si="24"/>
        <v>0</v>
      </c>
      <c r="AA45" s="125">
        <f t="shared" si="24"/>
        <v>0</v>
      </c>
      <c r="AB45" s="125">
        <f t="shared" si="24"/>
        <v>20940.362006</v>
      </c>
      <c r="AC45" s="125">
        <f t="shared" si="24"/>
        <v>15000</v>
      </c>
      <c r="AD45" s="125">
        <f t="shared" si="24"/>
        <v>15000</v>
      </c>
      <c r="AE45" s="125">
        <f t="shared" si="24"/>
        <v>0</v>
      </c>
      <c r="AF45" s="128"/>
    </row>
    <row r="46" spans="1:32" ht="31.5" customHeight="1">
      <c r="A46" s="128" t="s">
        <v>98</v>
      </c>
      <c r="B46" s="128" t="s">
        <v>87</v>
      </c>
      <c r="C46" s="128"/>
      <c r="D46" s="129"/>
      <c r="E46" s="125"/>
      <c r="F46" s="126"/>
      <c r="G46" s="125"/>
      <c r="H46" s="125">
        <f aca="true" t="shared" si="25" ref="H46:N46">SUM(H47:H51)</f>
        <v>135</v>
      </c>
      <c r="I46" s="125">
        <f t="shared" si="25"/>
        <v>135</v>
      </c>
      <c r="J46" s="125">
        <f t="shared" si="25"/>
        <v>0</v>
      </c>
      <c r="K46" s="125">
        <f t="shared" si="25"/>
        <v>0</v>
      </c>
      <c r="L46" s="125"/>
      <c r="M46" s="125">
        <f t="shared" si="25"/>
        <v>0</v>
      </c>
      <c r="N46" s="125">
        <f t="shared" si="25"/>
        <v>8151.181003</v>
      </c>
      <c r="O46" s="125">
        <f>SUM(O47:O52)</f>
        <v>500</v>
      </c>
      <c r="P46" s="125">
        <f>SUM(P47:P52)</f>
        <v>500</v>
      </c>
      <c r="Q46" s="125">
        <f>SUM(Q47:Q51)</f>
        <v>0</v>
      </c>
      <c r="R46" s="166">
        <f>SUM(R47:R51)</f>
        <v>0</v>
      </c>
      <c r="S46" s="166"/>
      <c r="T46" s="166">
        <f>SUM(T47:T51)</f>
        <v>0</v>
      </c>
      <c r="U46" s="166">
        <f>SUM(U47:U51)</f>
        <v>8151.181003</v>
      </c>
      <c r="V46" s="166">
        <f>SUM(V47:V52)</f>
        <v>500</v>
      </c>
      <c r="W46" s="166">
        <f>SUM(W47:W52)</f>
        <v>500</v>
      </c>
      <c r="X46" s="166">
        <f>SUM(X47:X51)</f>
        <v>0</v>
      </c>
      <c r="Y46" s="125">
        <f>SUM(Y47:Y51)</f>
        <v>0</v>
      </c>
      <c r="Z46" s="125"/>
      <c r="AA46" s="125">
        <f>SUM(AA47:AA51)</f>
        <v>0</v>
      </c>
      <c r="AB46" s="125">
        <f>SUM(AB47:AB51)</f>
        <v>8151.181003</v>
      </c>
      <c r="AC46" s="125">
        <f>SUM(AC47:AC52)</f>
        <v>500</v>
      </c>
      <c r="AD46" s="125">
        <f>SUM(AD47:AD52)</f>
        <v>500</v>
      </c>
      <c r="AE46" s="125">
        <f>SUM(AE47:AE51)</f>
        <v>0</v>
      </c>
      <c r="AF46" s="128"/>
    </row>
    <row r="47" spans="1:36" s="120" customFormat="1" ht="49.5" customHeight="1">
      <c r="A47" s="117" t="s">
        <v>23</v>
      </c>
      <c r="B47" s="118" t="s">
        <v>52</v>
      </c>
      <c r="C47" s="119" t="s">
        <v>21</v>
      </c>
      <c r="D47" s="119" t="s">
        <v>43</v>
      </c>
      <c r="E47" s="116" t="s">
        <v>37</v>
      </c>
      <c r="F47" s="115"/>
      <c r="G47" s="116"/>
      <c r="H47" s="116"/>
      <c r="I47" s="116"/>
      <c r="J47" s="116"/>
      <c r="K47" s="115" t="s">
        <v>58</v>
      </c>
      <c r="L47" s="116">
        <v>3214.313324</v>
      </c>
      <c r="M47" s="115" t="s">
        <v>175</v>
      </c>
      <c r="N47" s="116">
        <v>3214.313324</v>
      </c>
      <c r="O47" s="116">
        <v>100</v>
      </c>
      <c r="P47" s="116">
        <v>100</v>
      </c>
      <c r="Q47" s="116"/>
      <c r="R47" s="169" t="s">
        <v>58</v>
      </c>
      <c r="S47" s="170">
        <v>3214.313324</v>
      </c>
      <c r="T47" s="169" t="s">
        <v>175</v>
      </c>
      <c r="U47" s="170">
        <v>3214.313324</v>
      </c>
      <c r="V47" s="170">
        <v>100</v>
      </c>
      <c r="W47" s="170">
        <v>100</v>
      </c>
      <c r="X47" s="170"/>
      <c r="Y47" s="115" t="s">
        <v>58</v>
      </c>
      <c r="Z47" s="116">
        <v>3214.313324</v>
      </c>
      <c r="AA47" s="115" t="s">
        <v>175</v>
      </c>
      <c r="AB47" s="116">
        <v>3214.313324</v>
      </c>
      <c r="AC47" s="116">
        <v>100</v>
      </c>
      <c r="AD47" s="116">
        <v>100</v>
      </c>
      <c r="AE47" s="116"/>
      <c r="AF47" s="117"/>
      <c r="AJ47" s="121"/>
    </row>
    <row r="48" spans="1:36" s="120" customFormat="1" ht="70.5" customHeight="1">
      <c r="A48" s="117" t="s">
        <v>23</v>
      </c>
      <c r="B48" s="118" t="s">
        <v>53</v>
      </c>
      <c r="C48" s="119" t="s">
        <v>21</v>
      </c>
      <c r="D48" s="119" t="s">
        <v>25</v>
      </c>
      <c r="E48" s="116" t="s">
        <v>140</v>
      </c>
      <c r="F48" s="115"/>
      <c r="G48" s="116"/>
      <c r="H48" s="116"/>
      <c r="I48" s="116"/>
      <c r="J48" s="116"/>
      <c r="K48" s="115" t="s">
        <v>59</v>
      </c>
      <c r="L48" s="116">
        <v>2985.722541</v>
      </c>
      <c r="M48" s="115"/>
      <c r="N48" s="116"/>
      <c r="O48" s="116">
        <v>100</v>
      </c>
      <c r="P48" s="116">
        <v>100</v>
      </c>
      <c r="Q48" s="116"/>
      <c r="R48" s="169" t="s">
        <v>59</v>
      </c>
      <c r="S48" s="170">
        <v>2985.722541</v>
      </c>
      <c r="T48" s="169"/>
      <c r="U48" s="170"/>
      <c r="V48" s="170">
        <v>100</v>
      </c>
      <c r="W48" s="170">
        <v>100</v>
      </c>
      <c r="X48" s="170"/>
      <c r="Y48" s="115" t="s">
        <v>59</v>
      </c>
      <c r="Z48" s="116">
        <v>2985.722541</v>
      </c>
      <c r="AA48" s="115"/>
      <c r="AB48" s="116"/>
      <c r="AC48" s="116">
        <v>100</v>
      </c>
      <c r="AD48" s="116">
        <v>100</v>
      </c>
      <c r="AE48" s="116"/>
      <c r="AF48" s="119"/>
      <c r="AJ48" s="121"/>
    </row>
    <row r="49" spans="1:36" s="120" customFormat="1" ht="42.75" customHeight="1">
      <c r="A49" s="117" t="s">
        <v>23</v>
      </c>
      <c r="B49" s="118" t="s">
        <v>54</v>
      </c>
      <c r="C49" s="119" t="s">
        <v>21</v>
      </c>
      <c r="D49" s="119" t="s">
        <v>31</v>
      </c>
      <c r="E49" s="116" t="s">
        <v>44</v>
      </c>
      <c r="F49" s="115"/>
      <c r="G49" s="116"/>
      <c r="H49" s="116"/>
      <c r="I49" s="116"/>
      <c r="J49" s="116"/>
      <c r="K49" s="115" t="s">
        <v>60</v>
      </c>
      <c r="L49" s="116">
        <v>3386.867679</v>
      </c>
      <c r="M49" s="115" t="s">
        <v>176</v>
      </c>
      <c r="N49" s="116">
        <v>3386.867679</v>
      </c>
      <c r="O49" s="116">
        <v>100</v>
      </c>
      <c r="P49" s="116">
        <v>100</v>
      </c>
      <c r="Q49" s="116"/>
      <c r="R49" s="169" t="s">
        <v>60</v>
      </c>
      <c r="S49" s="170">
        <v>3386.867679</v>
      </c>
      <c r="T49" s="169" t="s">
        <v>176</v>
      </c>
      <c r="U49" s="170">
        <v>3386.867679</v>
      </c>
      <c r="V49" s="170">
        <v>100</v>
      </c>
      <c r="W49" s="170">
        <v>100</v>
      </c>
      <c r="X49" s="170"/>
      <c r="Y49" s="115" t="s">
        <v>60</v>
      </c>
      <c r="Z49" s="116">
        <v>3386.867679</v>
      </c>
      <c r="AA49" s="115" t="s">
        <v>176</v>
      </c>
      <c r="AB49" s="116">
        <v>3386.867679</v>
      </c>
      <c r="AC49" s="116">
        <v>100</v>
      </c>
      <c r="AD49" s="116">
        <v>100</v>
      </c>
      <c r="AE49" s="116"/>
      <c r="AF49" s="117"/>
      <c r="AJ49" s="121"/>
    </row>
    <row r="50" spans="1:36" s="120" customFormat="1" ht="70.5" customHeight="1" hidden="1">
      <c r="A50" s="117" t="s">
        <v>23</v>
      </c>
      <c r="B50" s="118" t="s">
        <v>141</v>
      </c>
      <c r="C50" s="119" t="s">
        <v>21</v>
      </c>
      <c r="D50" s="119" t="s">
        <v>31</v>
      </c>
      <c r="E50" s="116" t="s">
        <v>37</v>
      </c>
      <c r="F50" s="115" t="s">
        <v>167</v>
      </c>
      <c r="G50" s="116">
        <v>1927</v>
      </c>
      <c r="H50" s="116">
        <v>135</v>
      </c>
      <c r="I50" s="116">
        <v>135</v>
      </c>
      <c r="J50" s="116"/>
      <c r="K50" s="115"/>
      <c r="L50" s="116"/>
      <c r="M50" s="115" t="s">
        <v>242</v>
      </c>
      <c r="N50" s="116">
        <v>775</v>
      </c>
      <c r="O50" s="116"/>
      <c r="P50" s="116"/>
      <c r="Q50" s="116"/>
      <c r="R50" s="169"/>
      <c r="S50" s="170"/>
      <c r="T50" s="169" t="s">
        <v>242</v>
      </c>
      <c r="U50" s="170">
        <v>775</v>
      </c>
      <c r="V50" s="170"/>
      <c r="W50" s="170"/>
      <c r="X50" s="170"/>
      <c r="Y50" s="115"/>
      <c r="Z50" s="116"/>
      <c r="AA50" s="115" t="s">
        <v>242</v>
      </c>
      <c r="AB50" s="116">
        <v>775</v>
      </c>
      <c r="AC50" s="116"/>
      <c r="AD50" s="116"/>
      <c r="AE50" s="116"/>
      <c r="AF50" s="119" t="s">
        <v>318</v>
      </c>
      <c r="AJ50" s="121"/>
    </row>
    <row r="51" spans="1:36" s="120" customFormat="1" ht="49.5" customHeight="1">
      <c r="A51" s="117" t="s">
        <v>23</v>
      </c>
      <c r="B51" s="118" t="s">
        <v>233</v>
      </c>
      <c r="C51" s="119" t="s">
        <v>21</v>
      </c>
      <c r="D51" s="119" t="s">
        <v>31</v>
      </c>
      <c r="E51" s="116" t="s">
        <v>37</v>
      </c>
      <c r="F51" s="115"/>
      <c r="G51" s="116"/>
      <c r="H51" s="116"/>
      <c r="I51" s="116"/>
      <c r="J51" s="116"/>
      <c r="K51" s="115" t="s">
        <v>241</v>
      </c>
      <c r="L51" s="116">
        <v>775</v>
      </c>
      <c r="M51" s="115" t="s">
        <v>242</v>
      </c>
      <c r="N51" s="116">
        <v>775</v>
      </c>
      <c r="O51" s="116">
        <v>100</v>
      </c>
      <c r="P51" s="116">
        <v>100</v>
      </c>
      <c r="Q51" s="116"/>
      <c r="R51" s="169" t="s">
        <v>241</v>
      </c>
      <c r="S51" s="170">
        <v>775</v>
      </c>
      <c r="T51" s="169" t="s">
        <v>242</v>
      </c>
      <c r="U51" s="170">
        <v>775</v>
      </c>
      <c r="V51" s="170">
        <v>100</v>
      </c>
      <c r="W51" s="170">
        <v>100</v>
      </c>
      <c r="X51" s="170"/>
      <c r="Y51" s="115" t="s">
        <v>241</v>
      </c>
      <c r="Z51" s="116">
        <v>775</v>
      </c>
      <c r="AA51" s="115" t="s">
        <v>242</v>
      </c>
      <c r="AB51" s="116">
        <v>775</v>
      </c>
      <c r="AC51" s="116">
        <v>100</v>
      </c>
      <c r="AD51" s="116">
        <v>100</v>
      </c>
      <c r="AE51" s="116"/>
      <c r="AF51" s="119"/>
      <c r="AJ51" s="121"/>
    </row>
    <row r="52" spans="1:36" s="120" customFormat="1" ht="58.5" customHeight="1">
      <c r="A52" s="117" t="s">
        <v>23</v>
      </c>
      <c r="B52" s="118" t="s">
        <v>321</v>
      </c>
      <c r="C52" s="119" t="s">
        <v>21</v>
      </c>
      <c r="D52" s="119" t="s">
        <v>25</v>
      </c>
      <c r="E52" s="116" t="s">
        <v>140</v>
      </c>
      <c r="F52" s="115"/>
      <c r="G52" s="116"/>
      <c r="H52" s="116"/>
      <c r="I52" s="116"/>
      <c r="J52" s="116"/>
      <c r="K52" s="115" t="s">
        <v>255</v>
      </c>
      <c r="L52" s="116">
        <v>2886</v>
      </c>
      <c r="M52" s="115" t="s">
        <v>242</v>
      </c>
      <c r="N52" s="116">
        <v>775</v>
      </c>
      <c r="O52" s="116">
        <v>100</v>
      </c>
      <c r="P52" s="116">
        <v>100</v>
      </c>
      <c r="Q52" s="116"/>
      <c r="R52" s="169" t="s">
        <v>255</v>
      </c>
      <c r="S52" s="170">
        <v>2886</v>
      </c>
      <c r="T52" s="169" t="s">
        <v>242</v>
      </c>
      <c r="U52" s="170">
        <v>775</v>
      </c>
      <c r="V52" s="170">
        <v>100</v>
      </c>
      <c r="W52" s="170">
        <v>100</v>
      </c>
      <c r="X52" s="170"/>
      <c r="Y52" s="103" t="s">
        <v>378</v>
      </c>
      <c r="Z52" s="181">
        <v>4988</v>
      </c>
      <c r="AA52" s="115" t="s">
        <v>242</v>
      </c>
      <c r="AB52" s="116">
        <v>775</v>
      </c>
      <c r="AC52" s="116">
        <v>100</v>
      </c>
      <c r="AD52" s="116">
        <v>100</v>
      </c>
      <c r="AE52" s="116"/>
      <c r="AF52" s="119"/>
      <c r="AJ52" s="121"/>
    </row>
    <row r="53" spans="1:32" ht="33" customHeight="1">
      <c r="A53" s="128" t="s">
        <v>99</v>
      </c>
      <c r="B53" s="128" t="s">
        <v>88</v>
      </c>
      <c r="C53" s="128"/>
      <c r="D53" s="129"/>
      <c r="E53" s="125"/>
      <c r="F53" s="126"/>
      <c r="G53" s="125"/>
      <c r="H53" s="125">
        <f aca="true" t="shared" si="26" ref="H53:N53">H54+H57</f>
        <v>12178</v>
      </c>
      <c r="I53" s="125">
        <f t="shared" si="26"/>
        <v>12178</v>
      </c>
      <c r="J53" s="125">
        <f t="shared" si="26"/>
        <v>0</v>
      </c>
      <c r="K53" s="125">
        <f t="shared" si="26"/>
        <v>0</v>
      </c>
      <c r="L53" s="125">
        <f t="shared" si="26"/>
        <v>0</v>
      </c>
      <c r="M53" s="125">
        <f t="shared" si="26"/>
        <v>0</v>
      </c>
      <c r="N53" s="125">
        <f t="shared" si="26"/>
        <v>12789.181003</v>
      </c>
      <c r="O53" s="125">
        <f>O54+O57</f>
        <v>14499.999999999998</v>
      </c>
      <c r="P53" s="125">
        <f>P54+P57</f>
        <v>14499.999999999998</v>
      </c>
      <c r="Q53" s="125">
        <f>Q54+Q57</f>
        <v>0</v>
      </c>
      <c r="R53" s="166">
        <f aca="true" t="shared" si="27" ref="R53:X53">R54+R57</f>
        <v>0</v>
      </c>
      <c r="S53" s="166">
        <f t="shared" si="27"/>
        <v>0</v>
      </c>
      <c r="T53" s="166">
        <f t="shared" si="27"/>
        <v>0</v>
      </c>
      <c r="U53" s="166">
        <f t="shared" si="27"/>
        <v>12789.181003</v>
      </c>
      <c r="V53" s="166">
        <f t="shared" si="27"/>
        <v>14500</v>
      </c>
      <c r="W53" s="166">
        <f t="shared" si="27"/>
        <v>14500</v>
      </c>
      <c r="X53" s="166">
        <f t="shared" si="27"/>
        <v>0</v>
      </c>
      <c r="Y53" s="125">
        <f aca="true" t="shared" si="28" ref="Y53:AE53">Y54+Y57</f>
        <v>0</v>
      </c>
      <c r="Z53" s="125">
        <f t="shared" si="28"/>
        <v>0</v>
      </c>
      <c r="AA53" s="125">
        <f t="shared" si="28"/>
        <v>0</v>
      </c>
      <c r="AB53" s="125">
        <f t="shared" si="28"/>
        <v>12789.181003</v>
      </c>
      <c r="AC53" s="125">
        <f t="shared" si="28"/>
        <v>14500</v>
      </c>
      <c r="AD53" s="125">
        <f t="shared" si="28"/>
        <v>14500</v>
      </c>
      <c r="AE53" s="125">
        <f t="shared" si="28"/>
        <v>0</v>
      </c>
      <c r="AF53" s="128"/>
    </row>
    <row r="54" spans="1:32" ht="51.75" customHeight="1">
      <c r="A54" s="128" t="s">
        <v>77</v>
      </c>
      <c r="B54" s="129" t="s">
        <v>83</v>
      </c>
      <c r="C54" s="128"/>
      <c r="D54" s="129"/>
      <c r="E54" s="125"/>
      <c r="F54" s="126"/>
      <c r="G54" s="125"/>
      <c r="H54" s="125"/>
      <c r="I54" s="125"/>
      <c r="J54" s="125"/>
      <c r="K54" s="126"/>
      <c r="L54" s="125"/>
      <c r="M54" s="126"/>
      <c r="N54" s="125"/>
      <c r="O54" s="125"/>
      <c r="P54" s="125"/>
      <c r="Q54" s="125"/>
      <c r="R54" s="167"/>
      <c r="S54" s="166"/>
      <c r="T54" s="167"/>
      <c r="U54" s="166"/>
      <c r="V54" s="166"/>
      <c r="W54" s="166"/>
      <c r="X54" s="166"/>
      <c r="Y54" s="126"/>
      <c r="Z54" s="125"/>
      <c r="AA54" s="126"/>
      <c r="AB54" s="125"/>
      <c r="AC54" s="125"/>
      <c r="AD54" s="125"/>
      <c r="AE54" s="125"/>
      <c r="AF54" s="128"/>
    </row>
    <row r="55" spans="1:32" ht="29.25" customHeight="1">
      <c r="A55" s="128" t="s">
        <v>92</v>
      </c>
      <c r="B55" s="129" t="s">
        <v>84</v>
      </c>
      <c r="C55" s="128"/>
      <c r="D55" s="129"/>
      <c r="E55" s="125"/>
      <c r="F55" s="126"/>
      <c r="G55" s="125"/>
      <c r="H55" s="125"/>
      <c r="I55" s="125"/>
      <c r="J55" s="125"/>
      <c r="K55" s="126"/>
      <c r="L55" s="125"/>
      <c r="M55" s="126"/>
      <c r="N55" s="125"/>
      <c r="O55" s="125"/>
      <c r="P55" s="125"/>
      <c r="Q55" s="125"/>
      <c r="R55" s="167"/>
      <c r="S55" s="166"/>
      <c r="T55" s="167"/>
      <c r="U55" s="166"/>
      <c r="V55" s="166"/>
      <c r="W55" s="166"/>
      <c r="X55" s="166"/>
      <c r="Y55" s="126"/>
      <c r="Z55" s="125"/>
      <c r="AA55" s="126"/>
      <c r="AB55" s="125"/>
      <c r="AC55" s="125"/>
      <c r="AD55" s="125"/>
      <c r="AE55" s="125"/>
      <c r="AF55" s="128"/>
    </row>
    <row r="56" spans="1:32" ht="30" customHeight="1">
      <c r="A56" s="128" t="s">
        <v>93</v>
      </c>
      <c r="B56" s="129" t="s">
        <v>85</v>
      </c>
      <c r="C56" s="128"/>
      <c r="D56" s="129"/>
      <c r="E56" s="125"/>
      <c r="F56" s="126"/>
      <c r="G56" s="125"/>
      <c r="H56" s="125"/>
      <c r="I56" s="125"/>
      <c r="J56" s="125"/>
      <c r="K56" s="126"/>
      <c r="L56" s="125"/>
      <c r="M56" s="126"/>
      <c r="N56" s="125"/>
      <c r="O56" s="125"/>
      <c r="P56" s="125"/>
      <c r="Q56" s="125"/>
      <c r="R56" s="167"/>
      <c r="S56" s="166"/>
      <c r="T56" s="167"/>
      <c r="U56" s="166"/>
      <c r="V56" s="166"/>
      <c r="W56" s="166"/>
      <c r="X56" s="166"/>
      <c r="Y56" s="126"/>
      <c r="Z56" s="125"/>
      <c r="AA56" s="126"/>
      <c r="AB56" s="125"/>
      <c r="AC56" s="125"/>
      <c r="AD56" s="125"/>
      <c r="AE56" s="125"/>
      <c r="AF56" s="128"/>
    </row>
    <row r="57" spans="1:32" ht="35.25" customHeight="1">
      <c r="A57" s="128" t="s">
        <v>79</v>
      </c>
      <c r="B57" s="129" t="s">
        <v>86</v>
      </c>
      <c r="C57" s="128"/>
      <c r="D57" s="129"/>
      <c r="E57" s="125"/>
      <c r="F57" s="126"/>
      <c r="G57" s="125">
        <f aca="true" t="shared" si="29" ref="G57:N57">G58+G68</f>
        <v>0</v>
      </c>
      <c r="H57" s="125">
        <f t="shared" si="29"/>
        <v>12178</v>
      </c>
      <c r="I57" s="125">
        <f t="shared" si="29"/>
        <v>12178</v>
      </c>
      <c r="J57" s="125">
        <f t="shared" si="29"/>
        <v>0</v>
      </c>
      <c r="K57" s="125">
        <f t="shared" si="29"/>
        <v>0</v>
      </c>
      <c r="L57" s="125">
        <f t="shared" si="29"/>
        <v>0</v>
      </c>
      <c r="M57" s="125">
        <f t="shared" si="29"/>
        <v>0</v>
      </c>
      <c r="N57" s="125">
        <f t="shared" si="29"/>
        <v>12789.181003</v>
      </c>
      <c r="O57" s="125">
        <f>O58+O68</f>
        <v>14499.999999999998</v>
      </c>
      <c r="P57" s="125">
        <f>P58+P68</f>
        <v>14499.999999999998</v>
      </c>
      <c r="Q57" s="125">
        <f>Q58+Q68</f>
        <v>0</v>
      </c>
      <c r="R57" s="166">
        <f aca="true" t="shared" si="30" ref="R57:X57">R58+R68</f>
        <v>0</v>
      </c>
      <c r="S57" s="166">
        <f t="shared" si="30"/>
        <v>0</v>
      </c>
      <c r="T57" s="166">
        <f t="shared" si="30"/>
        <v>0</v>
      </c>
      <c r="U57" s="166">
        <f t="shared" si="30"/>
        <v>12789.181003</v>
      </c>
      <c r="V57" s="166">
        <f t="shared" si="30"/>
        <v>14500</v>
      </c>
      <c r="W57" s="166">
        <f t="shared" si="30"/>
        <v>14500</v>
      </c>
      <c r="X57" s="166">
        <f t="shared" si="30"/>
        <v>0</v>
      </c>
      <c r="Y57" s="125">
        <f aca="true" t="shared" si="31" ref="Y57:AE57">Y58+Y68</f>
        <v>0</v>
      </c>
      <c r="Z57" s="125">
        <f t="shared" si="31"/>
        <v>0</v>
      </c>
      <c r="AA57" s="125">
        <f t="shared" si="31"/>
        <v>0</v>
      </c>
      <c r="AB57" s="125">
        <f t="shared" si="31"/>
        <v>12789.181003</v>
      </c>
      <c r="AC57" s="125">
        <f t="shared" si="31"/>
        <v>14500</v>
      </c>
      <c r="AD57" s="125">
        <f t="shared" si="31"/>
        <v>14500</v>
      </c>
      <c r="AE57" s="125">
        <f t="shared" si="31"/>
        <v>0</v>
      </c>
      <c r="AF57" s="128"/>
    </row>
    <row r="58" spans="1:32" ht="36.75" customHeight="1">
      <c r="A58" s="128" t="s">
        <v>89</v>
      </c>
      <c r="B58" s="129" t="s">
        <v>84</v>
      </c>
      <c r="C58" s="128"/>
      <c r="D58" s="129"/>
      <c r="E58" s="125"/>
      <c r="F58" s="126"/>
      <c r="G58" s="125"/>
      <c r="H58" s="125">
        <f aca="true" t="shared" si="32" ref="H58:N58">SUM(H59:H67)</f>
        <v>12178</v>
      </c>
      <c r="I58" s="125">
        <f t="shared" si="32"/>
        <v>12178</v>
      </c>
      <c r="J58" s="125">
        <f t="shared" si="32"/>
        <v>0</v>
      </c>
      <c r="K58" s="125">
        <f t="shared" si="32"/>
        <v>0</v>
      </c>
      <c r="L58" s="125"/>
      <c r="M58" s="125">
        <f t="shared" si="32"/>
        <v>0</v>
      </c>
      <c r="N58" s="125">
        <f t="shared" si="32"/>
        <v>12789.181003</v>
      </c>
      <c r="O58" s="125">
        <f>SUM(O59:O67)</f>
        <v>14499.999999999998</v>
      </c>
      <c r="P58" s="125">
        <f>SUM(P59:P67)</f>
        <v>14499.999999999998</v>
      </c>
      <c r="Q58" s="125">
        <f>SUM(Q59:Q67)</f>
        <v>0</v>
      </c>
      <c r="R58" s="166">
        <f>SUM(R59:R67)</f>
        <v>0</v>
      </c>
      <c r="S58" s="166"/>
      <c r="T58" s="166">
        <f aca="true" t="shared" si="33" ref="T58:Y58">SUM(T59:T67)</f>
        <v>0</v>
      </c>
      <c r="U58" s="166">
        <f t="shared" si="33"/>
        <v>12789.181003</v>
      </c>
      <c r="V58" s="166">
        <f t="shared" si="33"/>
        <v>14500</v>
      </c>
      <c r="W58" s="166">
        <f t="shared" si="33"/>
        <v>14500</v>
      </c>
      <c r="X58" s="166">
        <f t="shared" si="33"/>
        <v>0</v>
      </c>
      <c r="Y58" s="125">
        <f t="shared" si="33"/>
        <v>0</v>
      </c>
      <c r="Z58" s="125"/>
      <c r="AA58" s="125">
        <f>SUM(AA59:AA67)</f>
        <v>0</v>
      </c>
      <c r="AB58" s="125">
        <f>SUM(AB59:AB67)</f>
        <v>12789.181003</v>
      </c>
      <c r="AC58" s="125">
        <f>SUM(AC59:AC67)</f>
        <v>14500</v>
      </c>
      <c r="AD58" s="125">
        <f>SUM(AD59:AD67)</f>
        <v>14500</v>
      </c>
      <c r="AE58" s="125">
        <f>SUM(AE59:AE67)</f>
        <v>0</v>
      </c>
      <c r="AF58" s="128"/>
    </row>
    <row r="59" spans="1:36" s="120" customFormat="1" ht="56.25" customHeight="1">
      <c r="A59" s="117" t="s">
        <v>23</v>
      </c>
      <c r="B59" s="118" t="s">
        <v>52</v>
      </c>
      <c r="C59" s="119" t="s">
        <v>21</v>
      </c>
      <c r="D59" s="119" t="s">
        <v>43</v>
      </c>
      <c r="E59" s="116" t="s">
        <v>37</v>
      </c>
      <c r="F59" s="115" t="s">
        <v>58</v>
      </c>
      <c r="G59" s="116">
        <v>3214.313324</v>
      </c>
      <c r="H59" s="116">
        <f aca="true" t="shared" si="34" ref="H59:H65">I59</f>
        <v>2893</v>
      </c>
      <c r="I59" s="116">
        <v>2893</v>
      </c>
      <c r="J59" s="116"/>
      <c r="K59" s="115" t="s">
        <v>58</v>
      </c>
      <c r="L59" s="116">
        <v>3214.313324</v>
      </c>
      <c r="M59" s="115" t="s">
        <v>175</v>
      </c>
      <c r="N59" s="116">
        <v>3214.313324</v>
      </c>
      <c r="O59" s="116">
        <f>P59</f>
        <v>3114</v>
      </c>
      <c r="P59" s="116">
        <v>3114</v>
      </c>
      <c r="Q59" s="116"/>
      <c r="R59" s="169" t="s">
        <v>58</v>
      </c>
      <c r="S59" s="170">
        <v>3214.313324</v>
      </c>
      <c r="T59" s="169" t="s">
        <v>175</v>
      </c>
      <c r="U59" s="170">
        <v>3214.313324</v>
      </c>
      <c r="V59" s="170">
        <f aca="true" t="shared" si="35" ref="V59:V64">W59</f>
        <v>3114</v>
      </c>
      <c r="W59" s="170">
        <v>3114</v>
      </c>
      <c r="X59" s="170"/>
      <c r="Y59" s="115" t="s">
        <v>58</v>
      </c>
      <c r="Z59" s="116">
        <v>3214.313324</v>
      </c>
      <c r="AA59" s="115" t="s">
        <v>175</v>
      </c>
      <c r="AB59" s="116">
        <v>3214.313324</v>
      </c>
      <c r="AC59" s="116">
        <f aca="true" t="shared" si="36" ref="AC59:AC64">AD59</f>
        <v>3114</v>
      </c>
      <c r="AD59" s="116">
        <v>3114</v>
      </c>
      <c r="AE59" s="116"/>
      <c r="AF59" s="119"/>
      <c r="AJ59" s="121"/>
    </row>
    <row r="60" spans="1:36" s="120" customFormat="1" ht="56.25" customHeight="1">
      <c r="A60" s="117" t="s">
        <v>23</v>
      </c>
      <c r="B60" s="118" t="s">
        <v>321</v>
      </c>
      <c r="C60" s="119" t="s">
        <v>21</v>
      </c>
      <c r="D60" s="119" t="s">
        <v>25</v>
      </c>
      <c r="E60" s="116" t="s">
        <v>140</v>
      </c>
      <c r="F60" s="115"/>
      <c r="G60" s="116"/>
      <c r="H60" s="116"/>
      <c r="I60" s="116"/>
      <c r="J60" s="116"/>
      <c r="K60" s="115" t="s">
        <v>255</v>
      </c>
      <c r="L60" s="116">
        <v>2886</v>
      </c>
      <c r="M60" s="115"/>
      <c r="N60" s="116"/>
      <c r="O60" s="116">
        <f aca="true" t="shared" si="37" ref="O60:O67">P60</f>
        <v>2786</v>
      </c>
      <c r="P60" s="116">
        <v>2786</v>
      </c>
      <c r="Q60" s="116"/>
      <c r="R60" s="169" t="s">
        <v>255</v>
      </c>
      <c r="S60" s="170">
        <v>2886</v>
      </c>
      <c r="T60" s="169"/>
      <c r="U60" s="170"/>
      <c r="V60" s="170">
        <f t="shared" si="35"/>
        <v>2786</v>
      </c>
      <c r="W60" s="170">
        <v>2786</v>
      </c>
      <c r="X60" s="170"/>
      <c r="Y60" s="103" t="s">
        <v>378</v>
      </c>
      <c r="Z60" s="181">
        <v>4988</v>
      </c>
      <c r="AA60" s="115"/>
      <c r="AB60" s="116"/>
      <c r="AC60" s="116">
        <f t="shared" si="36"/>
        <v>2786</v>
      </c>
      <c r="AD60" s="116">
        <v>2786</v>
      </c>
      <c r="AE60" s="116"/>
      <c r="AF60" s="119"/>
      <c r="AJ60" s="121"/>
    </row>
    <row r="61" spans="1:36" s="120" customFormat="1" ht="56.25" customHeight="1">
      <c r="A61" s="117" t="s">
        <v>23</v>
      </c>
      <c r="B61" s="118" t="s">
        <v>54</v>
      </c>
      <c r="C61" s="119" t="s">
        <v>21</v>
      </c>
      <c r="D61" s="119" t="s">
        <v>31</v>
      </c>
      <c r="E61" s="116" t="s">
        <v>44</v>
      </c>
      <c r="F61" s="115" t="s">
        <v>60</v>
      </c>
      <c r="G61" s="116">
        <v>3386.867679</v>
      </c>
      <c r="H61" s="116">
        <f t="shared" si="34"/>
        <v>3048</v>
      </c>
      <c r="I61" s="116">
        <v>3048</v>
      </c>
      <c r="J61" s="116"/>
      <c r="K61" s="115" t="s">
        <v>60</v>
      </c>
      <c r="L61" s="116">
        <v>3386.867679</v>
      </c>
      <c r="M61" s="115" t="s">
        <v>176</v>
      </c>
      <c r="N61" s="116">
        <v>3386.867679</v>
      </c>
      <c r="O61" s="116">
        <f t="shared" si="37"/>
        <v>2696.266</v>
      </c>
      <c r="P61" s="116">
        <f>2796.266-100</f>
        <v>2696.266</v>
      </c>
      <c r="Q61" s="116"/>
      <c r="R61" s="169" t="s">
        <v>60</v>
      </c>
      <c r="S61" s="170">
        <v>3386.867679</v>
      </c>
      <c r="T61" s="169" t="s">
        <v>176</v>
      </c>
      <c r="U61" s="170">
        <v>3386.867679</v>
      </c>
      <c r="V61" s="170">
        <f t="shared" si="35"/>
        <v>2701.02</v>
      </c>
      <c r="W61" s="170">
        <f>2796.266-100+4.754</f>
        <v>2701.02</v>
      </c>
      <c r="X61" s="170"/>
      <c r="Y61" s="115" t="s">
        <v>60</v>
      </c>
      <c r="Z61" s="116">
        <v>3386.867679</v>
      </c>
      <c r="AA61" s="115" t="s">
        <v>176</v>
      </c>
      <c r="AB61" s="116">
        <v>3386.867679</v>
      </c>
      <c r="AC61" s="116">
        <f t="shared" si="36"/>
        <v>2701.02</v>
      </c>
      <c r="AD61" s="116">
        <f>2796.266-100+4.754</f>
        <v>2701.02</v>
      </c>
      <c r="AE61" s="116"/>
      <c r="AF61" s="119"/>
      <c r="AJ61" s="121"/>
    </row>
    <row r="62" spans="1:36" s="120" customFormat="1" ht="56.25" customHeight="1">
      <c r="A62" s="117" t="s">
        <v>23</v>
      </c>
      <c r="B62" s="118" t="s">
        <v>55</v>
      </c>
      <c r="C62" s="119" t="s">
        <v>21</v>
      </c>
      <c r="D62" s="119" t="s">
        <v>31</v>
      </c>
      <c r="E62" s="115" t="s">
        <v>100</v>
      </c>
      <c r="F62" s="115" t="s">
        <v>178</v>
      </c>
      <c r="G62" s="116">
        <v>1600</v>
      </c>
      <c r="H62" s="116">
        <f t="shared" si="34"/>
        <v>1600</v>
      </c>
      <c r="I62" s="116">
        <v>1600</v>
      </c>
      <c r="J62" s="116"/>
      <c r="K62" s="115" t="s">
        <v>178</v>
      </c>
      <c r="L62" s="116">
        <v>1600</v>
      </c>
      <c r="M62" s="115" t="s">
        <v>63</v>
      </c>
      <c r="N62" s="116">
        <v>1600</v>
      </c>
      <c r="O62" s="116">
        <f t="shared" si="37"/>
        <v>1535.345</v>
      </c>
      <c r="P62" s="116">
        <v>1535.345</v>
      </c>
      <c r="Q62" s="116"/>
      <c r="R62" s="169" t="s">
        <v>178</v>
      </c>
      <c r="S62" s="170">
        <v>1600</v>
      </c>
      <c r="T62" s="169" t="s">
        <v>63</v>
      </c>
      <c r="U62" s="170">
        <v>1600</v>
      </c>
      <c r="V62" s="170">
        <f t="shared" si="35"/>
        <v>1535.345</v>
      </c>
      <c r="W62" s="170">
        <v>1535.345</v>
      </c>
      <c r="X62" s="170"/>
      <c r="Y62" s="115" t="s">
        <v>178</v>
      </c>
      <c r="Z62" s="116">
        <v>1600</v>
      </c>
      <c r="AA62" s="115" t="s">
        <v>63</v>
      </c>
      <c r="AB62" s="116">
        <v>1600</v>
      </c>
      <c r="AC62" s="116">
        <f t="shared" si="36"/>
        <v>1535.345</v>
      </c>
      <c r="AD62" s="116">
        <v>1535.345</v>
      </c>
      <c r="AE62" s="116"/>
      <c r="AF62" s="119"/>
      <c r="AJ62" s="121"/>
    </row>
    <row r="63" spans="1:36" s="120" customFormat="1" ht="49.5">
      <c r="A63" s="117" t="s">
        <v>23</v>
      </c>
      <c r="B63" s="118" t="s">
        <v>56</v>
      </c>
      <c r="C63" s="119" t="s">
        <v>21</v>
      </c>
      <c r="D63" s="119" t="s">
        <v>43</v>
      </c>
      <c r="E63" s="115" t="s">
        <v>100</v>
      </c>
      <c r="F63" s="115" t="s">
        <v>177</v>
      </c>
      <c r="G63" s="116">
        <v>1530</v>
      </c>
      <c r="H63" s="116">
        <f t="shared" si="34"/>
        <v>1530</v>
      </c>
      <c r="I63" s="116">
        <v>1530</v>
      </c>
      <c r="J63" s="116"/>
      <c r="K63" s="115" t="s">
        <v>177</v>
      </c>
      <c r="L63" s="116">
        <v>1530</v>
      </c>
      <c r="M63" s="115" t="s">
        <v>62</v>
      </c>
      <c r="N63" s="116">
        <v>1530</v>
      </c>
      <c r="O63" s="116">
        <f t="shared" si="37"/>
        <v>1510.127</v>
      </c>
      <c r="P63" s="116">
        <v>1510.127</v>
      </c>
      <c r="Q63" s="116"/>
      <c r="R63" s="169" t="s">
        <v>177</v>
      </c>
      <c r="S63" s="170">
        <v>1530</v>
      </c>
      <c r="T63" s="169" t="s">
        <v>62</v>
      </c>
      <c r="U63" s="170">
        <v>1530</v>
      </c>
      <c r="V63" s="170">
        <f t="shared" si="35"/>
        <v>1510.127</v>
      </c>
      <c r="W63" s="170">
        <v>1510.127</v>
      </c>
      <c r="X63" s="170"/>
      <c r="Y63" s="115" t="s">
        <v>177</v>
      </c>
      <c r="Z63" s="116">
        <v>1530</v>
      </c>
      <c r="AA63" s="115" t="s">
        <v>62</v>
      </c>
      <c r="AB63" s="116">
        <v>1530</v>
      </c>
      <c r="AC63" s="116">
        <f t="shared" si="36"/>
        <v>1510.127</v>
      </c>
      <c r="AD63" s="116">
        <v>1510.127</v>
      </c>
      <c r="AE63" s="116"/>
      <c r="AF63" s="119"/>
      <c r="AJ63" s="121"/>
    </row>
    <row r="64" spans="1:36" s="120" customFormat="1" ht="49.5">
      <c r="A64" s="117" t="s">
        <v>23</v>
      </c>
      <c r="B64" s="118" t="s">
        <v>57</v>
      </c>
      <c r="C64" s="119" t="s">
        <v>21</v>
      </c>
      <c r="D64" s="119" t="s">
        <v>25</v>
      </c>
      <c r="E64" s="115" t="s">
        <v>100</v>
      </c>
      <c r="F64" s="115" t="s">
        <v>179</v>
      </c>
      <c r="G64" s="116">
        <v>1508</v>
      </c>
      <c r="H64" s="116">
        <f t="shared" si="34"/>
        <v>1508</v>
      </c>
      <c r="I64" s="116">
        <v>1508</v>
      </c>
      <c r="J64" s="116"/>
      <c r="K64" s="115" t="s">
        <v>179</v>
      </c>
      <c r="L64" s="116">
        <v>1508</v>
      </c>
      <c r="M64" s="115" t="s">
        <v>61</v>
      </c>
      <c r="N64" s="116">
        <v>1508</v>
      </c>
      <c r="O64" s="116">
        <f t="shared" si="37"/>
        <v>1462.346</v>
      </c>
      <c r="P64" s="116">
        <v>1462.346</v>
      </c>
      <c r="Q64" s="116"/>
      <c r="R64" s="169" t="s">
        <v>179</v>
      </c>
      <c r="S64" s="170">
        <v>1508</v>
      </c>
      <c r="T64" s="169" t="s">
        <v>61</v>
      </c>
      <c r="U64" s="170">
        <v>1508</v>
      </c>
      <c r="V64" s="170">
        <f t="shared" si="35"/>
        <v>1462.346</v>
      </c>
      <c r="W64" s="170">
        <v>1462.346</v>
      </c>
      <c r="X64" s="170"/>
      <c r="Y64" s="115" t="s">
        <v>179</v>
      </c>
      <c r="Z64" s="116">
        <v>1508</v>
      </c>
      <c r="AA64" s="115" t="s">
        <v>61</v>
      </c>
      <c r="AB64" s="116">
        <v>1508</v>
      </c>
      <c r="AC64" s="116">
        <f t="shared" si="36"/>
        <v>1462.346</v>
      </c>
      <c r="AD64" s="116">
        <v>1462.346</v>
      </c>
      <c r="AE64" s="116"/>
      <c r="AF64" s="119"/>
      <c r="AJ64" s="121"/>
    </row>
    <row r="65" spans="1:36" s="120" customFormat="1" ht="70.5" customHeight="1" hidden="1">
      <c r="A65" s="117" t="s">
        <v>23</v>
      </c>
      <c r="B65" s="118" t="s">
        <v>141</v>
      </c>
      <c r="C65" s="119" t="s">
        <v>21</v>
      </c>
      <c r="D65" s="119" t="s">
        <v>31</v>
      </c>
      <c r="E65" s="116" t="s">
        <v>37</v>
      </c>
      <c r="F65" s="115" t="s">
        <v>167</v>
      </c>
      <c r="G65" s="116">
        <v>1927</v>
      </c>
      <c r="H65" s="116">
        <f t="shared" si="34"/>
        <v>1599</v>
      </c>
      <c r="I65" s="116">
        <v>1599</v>
      </c>
      <c r="J65" s="116"/>
      <c r="K65" s="115"/>
      <c r="L65" s="116"/>
      <c r="M65" s="115" t="s">
        <v>242</v>
      </c>
      <c r="N65" s="116">
        <v>775</v>
      </c>
      <c r="O65" s="116"/>
      <c r="P65" s="116"/>
      <c r="Q65" s="116"/>
      <c r="R65" s="169"/>
      <c r="S65" s="170"/>
      <c r="T65" s="169" t="s">
        <v>242</v>
      </c>
      <c r="U65" s="170">
        <v>775</v>
      </c>
      <c r="V65" s="170"/>
      <c r="W65" s="170"/>
      <c r="X65" s="170"/>
      <c r="Y65" s="115"/>
      <c r="Z65" s="116"/>
      <c r="AA65" s="115" t="s">
        <v>242</v>
      </c>
      <c r="AB65" s="116">
        <v>775</v>
      </c>
      <c r="AC65" s="116"/>
      <c r="AD65" s="116"/>
      <c r="AE65" s="116"/>
      <c r="AF65" s="119" t="s">
        <v>319</v>
      </c>
      <c r="AJ65" s="121"/>
    </row>
    <row r="66" spans="1:36" s="120" customFormat="1" ht="70.5" customHeight="1">
      <c r="A66" s="117" t="s">
        <v>23</v>
      </c>
      <c r="B66" s="118" t="s">
        <v>233</v>
      </c>
      <c r="C66" s="119" t="s">
        <v>21</v>
      </c>
      <c r="D66" s="119" t="s">
        <v>31</v>
      </c>
      <c r="E66" s="116" t="s">
        <v>37</v>
      </c>
      <c r="F66" s="115"/>
      <c r="G66" s="116"/>
      <c r="H66" s="116"/>
      <c r="I66" s="116"/>
      <c r="J66" s="116"/>
      <c r="K66" s="115" t="s">
        <v>241</v>
      </c>
      <c r="L66" s="116">
        <v>775</v>
      </c>
      <c r="M66" s="115" t="s">
        <v>242</v>
      </c>
      <c r="N66" s="116">
        <v>775</v>
      </c>
      <c r="O66" s="116">
        <f t="shared" si="37"/>
        <v>675</v>
      </c>
      <c r="P66" s="116">
        <v>675</v>
      </c>
      <c r="Q66" s="116"/>
      <c r="R66" s="169" t="s">
        <v>241</v>
      </c>
      <c r="S66" s="170">
        <v>775</v>
      </c>
      <c r="T66" s="169" t="s">
        <v>242</v>
      </c>
      <c r="U66" s="170">
        <v>775</v>
      </c>
      <c r="V66" s="170">
        <f>W66</f>
        <v>675</v>
      </c>
      <c r="W66" s="170">
        <v>675</v>
      </c>
      <c r="X66" s="170"/>
      <c r="Y66" s="115" t="s">
        <v>241</v>
      </c>
      <c r="Z66" s="116">
        <v>775</v>
      </c>
      <c r="AA66" s="115" t="s">
        <v>242</v>
      </c>
      <c r="AB66" s="116">
        <v>775</v>
      </c>
      <c r="AC66" s="116">
        <f>AD66</f>
        <v>675</v>
      </c>
      <c r="AD66" s="116">
        <v>675</v>
      </c>
      <c r="AE66" s="116"/>
      <c r="AF66" s="119"/>
      <c r="AJ66" s="121"/>
    </row>
    <row r="67" spans="1:36" s="120" customFormat="1" ht="56.25" customHeight="1">
      <c r="A67" s="117" t="s">
        <v>23</v>
      </c>
      <c r="B67" s="118" t="s">
        <v>313</v>
      </c>
      <c r="C67" s="119" t="s">
        <v>25</v>
      </c>
      <c r="D67" s="119" t="s">
        <v>25</v>
      </c>
      <c r="E67" s="116" t="s">
        <v>38</v>
      </c>
      <c r="F67" s="115"/>
      <c r="G67" s="116"/>
      <c r="H67" s="116"/>
      <c r="I67" s="116"/>
      <c r="J67" s="116"/>
      <c r="K67" s="115" t="s">
        <v>255</v>
      </c>
      <c r="L67" s="116">
        <v>2971.1</v>
      </c>
      <c r="M67" s="115"/>
      <c r="N67" s="116"/>
      <c r="O67" s="116">
        <f t="shared" si="37"/>
        <v>720.916</v>
      </c>
      <c r="P67" s="116">
        <v>720.916</v>
      </c>
      <c r="Q67" s="116"/>
      <c r="R67" s="169" t="s">
        <v>255</v>
      </c>
      <c r="S67" s="170">
        <v>2971.1</v>
      </c>
      <c r="T67" s="169"/>
      <c r="U67" s="170"/>
      <c r="V67" s="170">
        <f>W67</f>
        <v>716.162</v>
      </c>
      <c r="W67" s="170">
        <f>720.916-4.754</f>
        <v>716.162</v>
      </c>
      <c r="X67" s="170"/>
      <c r="Y67" s="115" t="s">
        <v>389</v>
      </c>
      <c r="Z67" s="116">
        <v>2971.1</v>
      </c>
      <c r="AA67" s="115"/>
      <c r="AB67" s="116"/>
      <c r="AC67" s="116">
        <f>AD67</f>
        <v>716.162</v>
      </c>
      <c r="AD67" s="116">
        <f>720.916-4.754</f>
        <v>716.162</v>
      </c>
      <c r="AE67" s="116"/>
      <c r="AF67" s="135" t="s">
        <v>311</v>
      </c>
      <c r="AJ67" s="121"/>
    </row>
    <row r="68" spans="1:32" ht="42.75" customHeight="1">
      <c r="A68" s="128" t="s">
        <v>97</v>
      </c>
      <c r="B68" s="129" t="s">
        <v>101</v>
      </c>
      <c r="C68" s="128"/>
      <c r="D68" s="129"/>
      <c r="E68" s="125"/>
      <c r="F68" s="126"/>
      <c r="G68" s="125"/>
      <c r="H68" s="125"/>
      <c r="I68" s="125"/>
      <c r="J68" s="125"/>
      <c r="K68" s="126"/>
      <c r="L68" s="125"/>
      <c r="M68" s="126"/>
      <c r="N68" s="125"/>
      <c r="O68" s="125"/>
      <c r="P68" s="125"/>
      <c r="Q68" s="125"/>
      <c r="R68" s="167"/>
      <c r="S68" s="166"/>
      <c r="T68" s="167"/>
      <c r="U68" s="166"/>
      <c r="V68" s="166"/>
      <c r="W68" s="166"/>
      <c r="X68" s="166"/>
      <c r="Y68" s="126"/>
      <c r="Z68" s="125"/>
      <c r="AA68" s="126"/>
      <c r="AB68" s="125"/>
      <c r="AC68" s="125"/>
      <c r="AD68" s="125"/>
      <c r="AE68" s="125"/>
      <c r="AF68" s="128"/>
    </row>
    <row r="69" spans="1:32" ht="46.5" customHeight="1">
      <c r="A69" s="128">
        <v>3</v>
      </c>
      <c r="B69" s="128" t="s">
        <v>81</v>
      </c>
      <c r="C69" s="128"/>
      <c r="D69" s="129"/>
      <c r="E69" s="125"/>
      <c r="F69" s="126"/>
      <c r="G69" s="125"/>
      <c r="H69" s="125">
        <v>2100</v>
      </c>
      <c r="I69" s="125">
        <v>2100</v>
      </c>
      <c r="J69" s="125"/>
      <c r="K69" s="126"/>
      <c r="L69" s="125"/>
      <c r="M69" s="126"/>
      <c r="N69" s="125"/>
      <c r="O69" s="125">
        <v>1685</v>
      </c>
      <c r="P69" s="125">
        <v>1685</v>
      </c>
      <c r="Q69" s="125"/>
      <c r="R69" s="167"/>
      <c r="S69" s="166"/>
      <c r="T69" s="167"/>
      <c r="U69" s="166"/>
      <c r="V69" s="166">
        <v>1685</v>
      </c>
      <c r="W69" s="166">
        <v>1685</v>
      </c>
      <c r="X69" s="166"/>
      <c r="Y69" s="126"/>
      <c r="Z69" s="125"/>
      <c r="AA69" s="126"/>
      <c r="AB69" s="125"/>
      <c r="AC69" s="125">
        <v>1685</v>
      </c>
      <c r="AD69" s="125">
        <v>1685</v>
      </c>
      <c r="AE69" s="125"/>
      <c r="AF69" s="119"/>
    </row>
    <row r="70" spans="1:32" ht="48" customHeight="1">
      <c r="A70" s="128">
        <v>4</v>
      </c>
      <c r="B70" s="129" t="s">
        <v>363</v>
      </c>
      <c r="C70" s="128"/>
      <c r="D70" s="129"/>
      <c r="E70" s="125"/>
      <c r="F70" s="126"/>
      <c r="G70" s="125"/>
      <c r="H70" s="125">
        <f aca="true" t="shared" si="38" ref="H70:N70">H71+H72</f>
        <v>5840</v>
      </c>
      <c r="I70" s="125">
        <f t="shared" si="38"/>
        <v>5840</v>
      </c>
      <c r="J70" s="125">
        <f t="shared" si="38"/>
        <v>0</v>
      </c>
      <c r="K70" s="125">
        <f t="shared" si="38"/>
        <v>0</v>
      </c>
      <c r="L70" s="125">
        <f t="shared" si="38"/>
        <v>0</v>
      </c>
      <c r="M70" s="125">
        <f t="shared" si="38"/>
        <v>0</v>
      </c>
      <c r="N70" s="125">
        <f t="shared" si="38"/>
        <v>10713.824230999999</v>
      </c>
      <c r="O70" s="125">
        <f>O71+O72</f>
        <v>5839.999999999999</v>
      </c>
      <c r="P70" s="125">
        <f>P71+P72</f>
        <v>5839.999999999999</v>
      </c>
      <c r="Q70" s="125">
        <f>Q71+Q72</f>
        <v>0</v>
      </c>
      <c r="R70" s="166">
        <f aca="true" t="shared" si="39" ref="R70:X70">R71+R72</f>
        <v>0</v>
      </c>
      <c r="S70" s="166">
        <f t="shared" si="39"/>
        <v>0</v>
      </c>
      <c r="T70" s="166">
        <f t="shared" si="39"/>
        <v>0</v>
      </c>
      <c r="U70" s="166">
        <f t="shared" si="39"/>
        <v>10713.824230999999</v>
      </c>
      <c r="V70" s="166">
        <f t="shared" si="39"/>
        <v>5839.999999999999</v>
      </c>
      <c r="W70" s="166">
        <f t="shared" si="39"/>
        <v>5839.999999999999</v>
      </c>
      <c r="X70" s="166">
        <f t="shared" si="39"/>
        <v>0</v>
      </c>
      <c r="Y70" s="125">
        <f aca="true" t="shared" si="40" ref="Y70:AE70">Y71+Y72</f>
        <v>0</v>
      </c>
      <c r="Z70" s="125">
        <f t="shared" si="40"/>
        <v>0</v>
      </c>
      <c r="AA70" s="125">
        <f t="shared" si="40"/>
        <v>0</v>
      </c>
      <c r="AB70" s="125">
        <f t="shared" si="40"/>
        <v>10713.824230999999</v>
      </c>
      <c r="AC70" s="125">
        <f t="shared" si="40"/>
        <v>5839.999999999999</v>
      </c>
      <c r="AD70" s="125">
        <f t="shared" si="40"/>
        <v>5839.999999999999</v>
      </c>
      <c r="AE70" s="125">
        <f t="shared" si="40"/>
        <v>0</v>
      </c>
      <c r="AF70" s="128"/>
    </row>
    <row r="71" spans="1:32" ht="29.25" customHeight="1">
      <c r="A71" s="128" t="s">
        <v>102</v>
      </c>
      <c r="B71" s="128" t="s">
        <v>87</v>
      </c>
      <c r="C71" s="128"/>
      <c r="D71" s="129"/>
      <c r="E71" s="125"/>
      <c r="F71" s="126"/>
      <c r="G71" s="125"/>
      <c r="H71" s="125">
        <v>0</v>
      </c>
      <c r="I71" s="125">
        <v>0</v>
      </c>
      <c r="J71" s="125">
        <v>0</v>
      </c>
      <c r="K71" s="126"/>
      <c r="L71" s="125"/>
      <c r="M71" s="126"/>
      <c r="N71" s="125"/>
      <c r="O71" s="125">
        <v>0</v>
      </c>
      <c r="P71" s="125">
        <v>0</v>
      </c>
      <c r="Q71" s="125">
        <v>0</v>
      </c>
      <c r="R71" s="167"/>
      <c r="S71" s="166"/>
      <c r="T71" s="167"/>
      <c r="U71" s="166"/>
      <c r="V71" s="166">
        <v>0</v>
      </c>
      <c r="W71" s="166">
        <v>0</v>
      </c>
      <c r="X71" s="166">
        <v>0</v>
      </c>
      <c r="Y71" s="126"/>
      <c r="Z71" s="125"/>
      <c r="AA71" s="126"/>
      <c r="AB71" s="125"/>
      <c r="AC71" s="125">
        <v>0</v>
      </c>
      <c r="AD71" s="125">
        <v>0</v>
      </c>
      <c r="AE71" s="125">
        <v>0</v>
      </c>
      <c r="AF71" s="128"/>
    </row>
    <row r="72" spans="1:32" ht="31.5" customHeight="1">
      <c r="A72" s="128" t="s">
        <v>103</v>
      </c>
      <c r="B72" s="128" t="s">
        <v>88</v>
      </c>
      <c r="C72" s="128"/>
      <c r="D72" s="129"/>
      <c r="E72" s="125"/>
      <c r="F72" s="126"/>
      <c r="G72" s="125"/>
      <c r="H72" s="125">
        <f aca="true" t="shared" si="41" ref="H72:N72">H73+H76</f>
        <v>5840</v>
      </c>
      <c r="I72" s="125">
        <f t="shared" si="41"/>
        <v>5840</v>
      </c>
      <c r="J72" s="125">
        <f t="shared" si="41"/>
        <v>0</v>
      </c>
      <c r="K72" s="125">
        <f t="shared" si="41"/>
        <v>0</v>
      </c>
      <c r="L72" s="125">
        <f t="shared" si="41"/>
        <v>0</v>
      </c>
      <c r="M72" s="125">
        <f t="shared" si="41"/>
        <v>0</v>
      </c>
      <c r="N72" s="125">
        <f t="shared" si="41"/>
        <v>10713.824230999999</v>
      </c>
      <c r="O72" s="125">
        <f>O73+O76</f>
        <v>5839.999999999999</v>
      </c>
      <c r="P72" s="125">
        <f>P73+P76</f>
        <v>5839.999999999999</v>
      </c>
      <c r="Q72" s="125">
        <f>Q73+Q76</f>
        <v>0</v>
      </c>
      <c r="R72" s="166">
        <f aca="true" t="shared" si="42" ref="R72:X72">R73+R76</f>
        <v>0</v>
      </c>
      <c r="S72" s="166">
        <f t="shared" si="42"/>
        <v>0</v>
      </c>
      <c r="T72" s="166">
        <f t="shared" si="42"/>
        <v>0</v>
      </c>
      <c r="U72" s="166">
        <f t="shared" si="42"/>
        <v>10713.824230999999</v>
      </c>
      <c r="V72" s="166">
        <f t="shared" si="42"/>
        <v>5839.999999999999</v>
      </c>
      <c r="W72" s="166">
        <f t="shared" si="42"/>
        <v>5839.999999999999</v>
      </c>
      <c r="X72" s="166">
        <f t="shared" si="42"/>
        <v>0</v>
      </c>
      <c r="Y72" s="125">
        <f aca="true" t="shared" si="43" ref="Y72:AE72">Y73+Y76</f>
        <v>0</v>
      </c>
      <c r="Z72" s="125">
        <f t="shared" si="43"/>
        <v>0</v>
      </c>
      <c r="AA72" s="125">
        <f t="shared" si="43"/>
        <v>0</v>
      </c>
      <c r="AB72" s="125">
        <f t="shared" si="43"/>
        <v>10713.824230999999</v>
      </c>
      <c r="AC72" s="125">
        <f t="shared" si="43"/>
        <v>5839.999999999999</v>
      </c>
      <c r="AD72" s="125">
        <f t="shared" si="43"/>
        <v>5839.999999999999</v>
      </c>
      <c r="AE72" s="125">
        <f t="shared" si="43"/>
        <v>0</v>
      </c>
      <c r="AF72" s="128"/>
    </row>
    <row r="73" spans="1:32" ht="42" customHeight="1">
      <c r="A73" s="128" t="s">
        <v>77</v>
      </c>
      <c r="B73" s="129" t="s">
        <v>83</v>
      </c>
      <c r="C73" s="128"/>
      <c r="D73" s="129"/>
      <c r="E73" s="125"/>
      <c r="F73" s="126"/>
      <c r="G73" s="125"/>
      <c r="H73" s="125"/>
      <c r="I73" s="125"/>
      <c r="J73" s="125"/>
      <c r="K73" s="126"/>
      <c r="L73" s="125"/>
      <c r="M73" s="126"/>
      <c r="N73" s="125"/>
      <c r="O73" s="125"/>
      <c r="P73" s="125"/>
      <c r="Q73" s="125"/>
      <c r="R73" s="167"/>
      <c r="S73" s="166"/>
      <c r="T73" s="167"/>
      <c r="U73" s="166"/>
      <c r="V73" s="166"/>
      <c r="W73" s="166"/>
      <c r="X73" s="166"/>
      <c r="Y73" s="126"/>
      <c r="Z73" s="125"/>
      <c r="AA73" s="126"/>
      <c r="AB73" s="125"/>
      <c r="AC73" s="125"/>
      <c r="AD73" s="125"/>
      <c r="AE73" s="125"/>
      <c r="AF73" s="128"/>
    </row>
    <row r="74" spans="1:32" ht="37.5" customHeight="1">
      <c r="A74" s="128" t="s">
        <v>92</v>
      </c>
      <c r="B74" s="129" t="s">
        <v>84</v>
      </c>
      <c r="C74" s="128"/>
      <c r="D74" s="129"/>
      <c r="E74" s="125"/>
      <c r="F74" s="126"/>
      <c r="G74" s="125"/>
      <c r="H74" s="125"/>
      <c r="I74" s="125"/>
      <c r="J74" s="125"/>
      <c r="K74" s="126"/>
      <c r="L74" s="125"/>
      <c r="M74" s="126"/>
      <c r="N74" s="125"/>
      <c r="O74" s="125"/>
      <c r="P74" s="125"/>
      <c r="Q74" s="125"/>
      <c r="R74" s="167"/>
      <c r="S74" s="166"/>
      <c r="T74" s="167"/>
      <c r="U74" s="166"/>
      <c r="V74" s="166"/>
      <c r="W74" s="166"/>
      <c r="X74" s="166"/>
      <c r="Y74" s="126"/>
      <c r="Z74" s="125"/>
      <c r="AA74" s="126"/>
      <c r="AB74" s="125"/>
      <c r="AC74" s="125"/>
      <c r="AD74" s="125"/>
      <c r="AE74" s="125"/>
      <c r="AF74" s="128"/>
    </row>
    <row r="75" spans="1:32" ht="31.5" customHeight="1">
      <c r="A75" s="128" t="s">
        <v>93</v>
      </c>
      <c r="B75" s="129" t="s">
        <v>85</v>
      </c>
      <c r="C75" s="128"/>
      <c r="D75" s="129"/>
      <c r="E75" s="125"/>
      <c r="F75" s="126"/>
      <c r="G75" s="125"/>
      <c r="H75" s="125"/>
      <c r="I75" s="125"/>
      <c r="J75" s="125"/>
      <c r="K75" s="126"/>
      <c r="L75" s="125"/>
      <c r="M75" s="126"/>
      <c r="N75" s="125"/>
      <c r="O75" s="125"/>
      <c r="P75" s="125"/>
      <c r="Q75" s="125"/>
      <c r="R75" s="167"/>
      <c r="S75" s="166"/>
      <c r="T75" s="167"/>
      <c r="U75" s="166"/>
      <c r="V75" s="166"/>
      <c r="W75" s="166"/>
      <c r="X75" s="166"/>
      <c r="Y75" s="126"/>
      <c r="Z75" s="125"/>
      <c r="AA75" s="126"/>
      <c r="AB75" s="125"/>
      <c r="AC75" s="125"/>
      <c r="AD75" s="125"/>
      <c r="AE75" s="125"/>
      <c r="AF75" s="128"/>
    </row>
    <row r="76" spans="1:32" ht="33" customHeight="1">
      <c r="A76" s="128" t="s">
        <v>79</v>
      </c>
      <c r="B76" s="129" t="s">
        <v>86</v>
      </c>
      <c r="C76" s="128"/>
      <c r="D76" s="129"/>
      <c r="E76" s="125"/>
      <c r="F76" s="126"/>
      <c r="G76" s="125"/>
      <c r="H76" s="125">
        <f aca="true" t="shared" si="44" ref="H76:N76">H77+H82</f>
        <v>5840</v>
      </c>
      <c r="I76" s="125">
        <f t="shared" si="44"/>
        <v>5840</v>
      </c>
      <c r="J76" s="125">
        <f t="shared" si="44"/>
        <v>0</v>
      </c>
      <c r="K76" s="125">
        <f t="shared" si="44"/>
        <v>0</v>
      </c>
      <c r="L76" s="125">
        <f t="shared" si="44"/>
        <v>0</v>
      </c>
      <c r="M76" s="125">
        <f t="shared" si="44"/>
        <v>0</v>
      </c>
      <c r="N76" s="125">
        <f t="shared" si="44"/>
        <v>10713.824230999999</v>
      </c>
      <c r="O76" s="125">
        <f>O77+O82</f>
        <v>5839.999999999999</v>
      </c>
      <c r="P76" s="125">
        <f>P77+P82</f>
        <v>5839.999999999999</v>
      </c>
      <c r="Q76" s="125">
        <f>Q77+Q82</f>
        <v>0</v>
      </c>
      <c r="R76" s="166">
        <f aca="true" t="shared" si="45" ref="R76:X76">R77+R82</f>
        <v>0</v>
      </c>
      <c r="S76" s="166">
        <f t="shared" si="45"/>
        <v>0</v>
      </c>
      <c r="T76" s="166">
        <f t="shared" si="45"/>
        <v>0</v>
      </c>
      <c r="U76" s="166">
        <f t="shared" si="45"/>
        <v>10713.824230999999</v>
      </c>
      <c r="V76" s="166">
        <f t="shared" si="45"/>
        <v>5839.999999999999</v>
      </c>
      <c r="W76" s="166">
        <f t="shared" si="45"/>
        <v>5839.999999999999</v>
      </c>
      <c r="X76" s="166">
        <f t="shared" si="45"/>
        <v>0</v>
      </c>
      <c r="Y76" s="125">
        <f aca="true" t="shared" si="46" ref="Y76:AE76">Y77+Y82</f>
        <v>0</v>
      </c>
      <c r="Z76" s="125">
        <f t="shared" si="46"/>
        <v>0</v>
      </c>
      <c r="AA76" s="125">
        <f t="shared" si="46"/>
        <v>0</v>
      </c>
      <c r="AB76" s="125">
        <f t="shared" si="46"/>
        <v>10713.824230999999</v>
      </c>
      <c r="AC76" s="125">
        <f t="shared" si="46"/>
        <v>5839.999999999999</v>
      </c>
      <c r="AD76" s="125">
        <f t="shared" si="46"/>
        <v>5839.999999999999</v>
      </c>
      <c r="AE76" s="125">
        <f t="shared" si="46"/>
        <v>0</v>
      </c>
      <c r="AF76" s="128"/>
    </row>
    <row r="77" spans="1:32" ht="39" customHeight="1">
      <c r="A77" s="128" t="s">
        <v>89</v>
      </c>
      <c r="B77" s="129" t="s">
        <v>84</v>
      </c>
      <c r="C77" s="128"/>
      <c r="D77" s="129"/>
      <c r="E77" s="125"/>
      <c r="F77" s="126"/>
      <c r="G77" s="125"/>
      <c r="H77" s="125">
        <f aca="true" t="shared" si="47" ref="H77:N77">SUM(H78:H81)</f>
        <v>5840</v>
      </c>
      <c r="I77" s="125">
        <f t="shared" si="47"/>
        <v>5840</v>
      </c>
      <c r="J77" s="125">
        <f t="shared" si="47"/>
        <v>0</v>
      </c>
      <c r="K77" s="125">
        <f t="shared" si="47"/>
        <v>0</v>
      </c>
      <c r="L77" s="125"/>
      <c r="M77" s="125">
        <f t="shared" si="47"/>
        <v>0</v>
      </c>
      <c r="N77" s="125">
        <f t="shared" si="47"/>
        <v>10713.824230999999</v>
      </c>
      <c r="O77" s="125">
        <f>SUM(O78:O81)</f>
        <v>5839.999999999999</v>
      </c>
      <c r="P77" s="125">
        <f>SUM(P78:P81)</f>
        <v>5839.999999999999</v>
      </c>
      <c r="Q77" s="125">
        <f>SUM(Q78:Q81)</f>
        <v>0</v>
      </c>
      <c r="R77" s="166">
        <f>SUM(R78:R81)</f>
        <v>0</v>
      </c>
      <c r="S77" s="166"/>
      <c r="T77" s="166">
        <f aca="true" t="shared" si="48" ref="T77:Y77">SUM(T78:T81)</f>
        <v>0</v>
      </c>
      <c r="U77" s="166">
        <f t="shared" si="48"/>
        <v>10713.824230999999</v>
      </c>
      <c r="V77" s="166">
        <f t="shared" si="48"/>
        <v>5839.999999999999</v>
      </c>
      <c r="W77" s="166">
        <f t="shared" si="48"/>
        <v>5839.999999999999</v>
      </c>
      <c r="X77" s="166">
        <f t="shared" si="48"/>
        <v>0</v>
      </c>
      <c r="Y77" s="125">
        <f t="shared" si="48"/>
        <v>0</v>
      </c>
      <c r="Z77" s="125"/>
      <c r="AA77" s="125">
        <f>SUM(AA78:AA81)</f>
        <v>0</v>
      </c>
      <c r="AB77" s="125">
        <f>SUM(AB78:AB81)</f>
        <v>10713.824230999999</v>
      </c>
      <c r="AC77" s="125">
        <f>SUM(AC78:AC81)</f>
        <v>5839.999999999999</v>
      </c>
      <c r="AD77" s="125">
        <f>SUM(AD78:AD81)</f>
        <v>5839.999999999999</v>
      </c>
      <c r="AE77" s="125">
        <f>SUM(AE78:AE81)</f>
        <v>0</v>
      </c>
      <c r="AF77" s="128"/>
    </row>
    <row r="78" spans="1:36" s="120" customFormat="1" ht="65.25" customHeight="1">
      <c r="A78" s="117" t="s">
        <v>23</v>
      </c>
      <c r="B78" s="118" t="s">
        <v>65</v>
      </c>
      <c r="C78" s="119" t="s">
        <v>21</v>
      </c>
      <c r="D78" s="119" t="s">
        <v>31</v>
      </c>
      <c r="E78" s="115" t="s">
        <v>26</v>
      </c>
      <c r="F78" s="115" t="s">
        <v>183</v>
      </c>
      <c r="G78" s="116">
        <v>4965.300745</v>
      </c>
      <c r="H78" s="116">
        <f>I78</f>
        <v>2146</v>
      </c>
      <c r="I78" s="116">
        <v>2146</v>
      </c>
      <c r="J78" s="116"/>
      <c r="K78" s="115" t="s">
        <v>183</v>
      </c>
      <c r="L78" s="116">
        <v>4965.300745</v>
      </c>
      <c r="M78" s="115" t="s">
        <v>67</v>
      </c>
      <c r="N78" s="116">
        <v>4965.300745</v>
      </c>
      <c r="O78" s="116">
        <f>P78</f>
        <v>2146</v>
      </c>
      <c r="P78" s="116">
        <v>2146</v>
      </c>
      <c r="Q78" s="116"/>
      <c r="R78" s="169" t="s">
        <v>183</v>
      </c>
      <c r="S78" s="170">
        <v>4965.300745</v>
      </c>
      <c r="T78" s="169" t="s">
        <v>67</v>
      </c>
      <c r="U78" s="170">
        <v>4965.300745</v>
      </c>
      <c r="V78" s="170">
        <f>W78</f>
        <v>2146</v>
      </c>
      <c r="W78" s="170">
        <v>2146</v>
      </c>
      <c r="X78" s="170"/>
      <c r="Y78" s="115" t="s">
        <v>183</v>
      </c>
      <c r="Z78" s="116">
        <v>4965.300745</v>
      </c>
      <c r="AA78" s="115" t="s">
        <v>67</v>
      </c>
      <c r="AB78" s="116">
        <v>4965.300745</v>
      </c>
      <c r="AC78" s="116">
        <f>AD78</f>
        <v>2146</v>
      </c>
      <c r="AD78" s="116">
        <v>2146</v>
      </c>
      <c r="AE78" s="116"/>
      <c r="AF78" s="117"/>
      <c r="AJ78" s="121"/>
    </row>
    <row r="79" spans="1:36" s="120" customFormat="1" ht="85.5" customHeight="1">
      <c r="A79" s="117" t="s">
        <v>23</v>
      </c>
      <c r="B79" s="118" t="s">
        <v>64</v>
      </c>
      <c r="C79" s="119" t="s">
        <v>21</v>
      </c>
      <c r="D79" s="119" t="s">
        <v>25</v>
      </c>
      <c r="E79" s="115" t="s">
        <v>26</v>
      </c>
      <c r="F79" s="115" t="s">
        <v>182</v>
      </c>
      <c r="G79" s="116">
        <v>3455.083081</v>
      </c>
      <c r="H79" s="116">
        <f>I79</f>
        <v>3110</v>
      </c>
      <c r="I79" s="116">
        <v>3110</v>
      </c>
      <c r="J79" s="116"/>
      <c r="K79" s="115" t="s">
        <v>182</v>
      </c>
      <c r="L79" s="116">
        <v>3455.083081</v>
      </c>
      <c r="M79" s="115" t="s">
        <v>68</v>
      </c>
      <c r="N79" s="116">
        <v>3455.083082</v>
      </c>
      <c r="O79" s="116">
        <f>P79</f>
        <v>3203.095</v>
      </c>
      <c r="P79" s="116">
        <v>3203.095</v>
      </c>
      <c r="Q79" s="116"/>
      <c r="R79" s="169" t="s">
        <v>182</v>
      </c>
      <c r="S79" s="170">
        <v>3455.083081</v>
      </c>
      <c r="T79" s="169" t="s">
        <v>68</v>
      </c>
      <c r="U79" s="170">
        <v>3455.083082</v>
      </c>
      <c r="V79" s="170">
        <f>W79</f>
        <v>3203.095</v>
      </c>
      <c r="W79" s="170">
        <v>3203.095</v>
      </c>
      <c r="X79" s="170"/>
      <c r="Y79" s="115" t="s">
        <v>182</v>
      </c>
      <c r="Z79" s="116">
        <v>3455.083081</v>
      </c>
      <c r="AA79" s="115" t="s">
        <v>68</v>
      </c>
      <c r="AB79" s="116">
        <v>3455.083082</v>
      </c>
      <c r="AC79" s="116">
        <f>AD79</f>
        <v>3203.095</v>
      </c>
      <c r="AD79" s="116">
        <v>3203.095</v>
      </c>
      <c r="AE79" s="116"/>
      <c r="AF79" s="119"/>
      <c r="AJ79" s="121"/>
    </row>
    <row r="80" spans="1:36" s="120" customFormat="1" ht="63.75" customHeight="1">
      <c r="A80" s="117" t="s">
        <v>23</v>
      </c>
      <c r="B80" s="118" t="s">
        <v>66</v>
      </c>
      <c r="C80" s="119" t="s">
        <v>21</v>
      </c>
      <c r="D80" s="119" t="s">
        <v>31</v>
      </c>
      <c r="E80" s="119" t="s">
        <v>44</v>
      </c>
      <c r="F80" s="115" t="s">
        <v>34</v>
      </c>
      <c r="G80" s="116">
        <v>2293.440404</v>
      </c>
      <c r="H80" s="116">
        <f>I80</f>
        <v>584</v>
      </c>
      <c r="I80" s="116">
        <v>584</v>
      </c>
      <c r="J80" s="116"/>
      <c r="K80" s="115" t="s">
        <v>34</v>
      </c>
      <c r="L80" s="116">
        <v>2293.440404</v>
      </c>
      <c r="M80" s="115" t="s">
        <v>166</v>
      </c>
      <c r="N80" s="116">
        <v>2293.440404</v>
      </c>
      <c r="O80" s="116">
        <v>239</v>
      </c>
      <c r="P80" s="116">
        <v>239</v>
      </c>
      <c r="Q80" s="116"/>
      <c r="R80" s="169" t="s">
        <v>34</v>
      </c>
      <c r="S80" s="170">
        <v>2293.440404</v>
      </c>
      <c r="T80" s="169" t="s">
        <v>166</v>
      </c>
      <c r="U80" s="170">
        <v>2293.440404</v>
      </c>
      <c r="V80" s="170">
        <v>239</v>
      </c>
      <c r="W80" s="170">
        <v>239</v>
      </c>
      <c r="X80" s="170"/>
      <c r="Y80" s="115" t="s">
        <v>34</v>
      </c>
      <c r="Z80" s="116">
        <v>2293.440404</v>
      </c>
      <c r="AA80" s="115" t="s">
        <v>166</v>
      </c>
      <c r="AB80" s="116">
        <v>2293.440404</v>
      </c>
      <c r="AC80" s="116">
        <v>239</v>
      </c>
      <c r="AD80" s="116">
        <v>239</v>
      </c>
      <c r="AE80" s="116"/>
      <c r="AF80" s="119"/>
      <c r="AG80" s="130"/>
      <c r="AJ80" s="121"/>
    </row>
    <row r="81" spans="1:36" s="120" customFormat="1" ht="49.5">
      <c r="A81" s="117" t="s">
        <v>23</v>
      </c>
      <c r="B81" s="118" t="s">
        <v>314</v>
      </c>
      <c r="C81" s="119" t="s">
        <v>21</v>
      </c>
      <c r="D81" s="119" t="s">
        <v>22</v>
      </c>
      <c r="E81" s="119" t="s">
        <v>38</v>
      </c>
      <c r="F81" s="115"/>
      <c r="G81" s="116"/>
      <c r="H81" s="116"/>
      <c r="I81" s="116"/>
      <c r="J81" s="116"/>
      <c r="K81" s="115" t="s">
        <v>255</v>
      </c>
      <c r="L81" s="116">
        <v>546</v>
      </c>
      <c r="M81" s="115"/>
      <c r="N81" s="116"/>
      <c r="O81" s="116">
        <f>P81</f>
        <v>251.905</v>
      </c>
      <c r="P81" s="116">
        <v>251.905</v>
      </c>
      <c r="Q81" s="116"/>
      <c r="R81" s="169" t="s">
        <v>255</v>
      </c>
      <c r="S81" s="170">
        <v>491</v>
      </c>
      <c r="T81" s="169"/>
      <c r="U81" s="170"/>
      <c r="V81" s="170">
        <f>W81</f>
        <v>251.905</v>
      </c>
      <c r="W81" s="170">
        <v>251.905</v>
      </c>
      <c r="X81" s="170"/>
      <c r="Y81" s="115" t="s">
        <v>379</v>
      </c>
      <c r="Z81" s="116">
        <v>491</v>
      </c>
      <c r="AA81" s="115"/>
      <c r="AB81" s="116"/>
      <c r="AC81" s="116">
        <f>AD81</f>
        <v>251.905</v>
      </c>
      <c r="AD81" s="116">
        <v>251.905</v>
      </c>
      <c r="AE81" s="116"/>
      <c r="AF81" s="119" t="s">
        <v>325</v>
      </c>
      <c r="AG81" s="130"/>
      <c r="AJ81" s="121"/>
    </row>
    <row r="82" spans="1:32" ht="42.75" customHeight="1">
      <c r="A82" s="128" t="s">
        <v>97</v>
      </c>
      <c r="B82" s="129" t="s">
        <v>101</v>
      </c>
      <c r="C82" s="128"/>
      <c r="D82" s="129"/>
      <c r="E82" s="125"/>
      <c r="F82" s="126"/>
      <c r="G82" s="125"/>
      <c r="H82" s="125"/>
      <c r="I82" s="125"/>
      <c r="J82" s="125"/>
      <c r="K82" s="126"/>
      <c r="L82" s="125"/>
      <c r="M82" s="126"/>
      <c r="N82" s="125"/>
      <c r="O82" s="125"/>
      <c r="P82" s="125"/>
      <c r="Q82" s="125"/>
      <c r="R82" s="167"/>
      <c r="S82" s="166"/>
      <c r="T82" s="167"/>
      <c r="U82" s="166"/>
      <c r="V82" s="166"/>
      <c r="W82" s="166"/>
      <c r="X82" s="166"/>
      <c r="Y82" s="126"/>
      <c r="Z82" s="125"/>
      <c r="AA82" s="126"/>
      <c r="AB82" s="125"/>
      <c r="AC82" s="125"/>
      <c r="AD82" s="125"/>
      <c r="AE82" s="125"/>
      <c r="AF82" s="128"/>
    </row>
    <row r="83" spans="1:32" ht="37.5" customHeight="1">
      <c r="A83" s="128">
        <v>5</v>
      </c>
      <c r="B83" s="128" t="s">
        <v>82</v>
      </c>
      <c r="C83" s="128"/>
      <c r="D83" s="129"/>
      <c r="E83" s="125"/>
      <c r="F83" s="126"/>
      <c r="G83" s="125"/>
      <c r="H83" s="136">
        <f aca="true" t="shared" si="49" ref="H83:N83">H84+H99</f>
        <v>20000</v>
      </c>
      <c r="I83" s="136">
        <f t="shared" si="49"/>
        <v>20000</v>
      </c>
      <c r="J83" s="136">
        <f t="shared" si="49"/>
        <v>0</v>
      </c>
      <c r="K83" s="136">
        <f t="shared" si="49"/>
        <v>0</v>
      </c>
      <c r="L83" s="136">
        <f t="shared" si="49"/>
        <v>0</v>
      </c>
      <c r="M83" s="136">
        <f t="shared" si="49"/>
        <v>0</v>
      </c>
      <c r="N83" s="136">
        <f t="shared" si="49"/>
        <v>51829.970438000004</v>
      </c>
      <c r="O83" s="136">
        <f>O84+O99</f>
        <v>27600</v>
      </c>
      <c r="P83" s="136">
        <f>P84+P99</f>
        <v>27600</v>
      </c>
      <c r="Q83" s="136">
        <f>Q84+Q99</f>
        <v>0</v>
      </c>
      <c r="R83" s="172">
        <f aca="true" t="shared" si="50" ref="R83:X83">R84+R99</f>
        <v>0</v>
      </c>
      <c r="S83" s="172">
        <f t="shared" si="50"/>
        <v>0</v>
      </c>
      <c r="T83" s="172">
        <f t="shared" si="50"/>
        <v>0</v>
      </c>
      <c r="U83" s="172">
        <f t="shared" si="50"/>
        <v>51829.970438000004</v>
      </c>
      <c r="V83" s="172">
        <f t="shared" si="50"/>
        <v>27600</v>
      </c>
      <c r="W83" s="172">
        <f t="shared" si="50"/>
        <v>27600</v>
      </c>
      <c r="X83" s="172">
        <f t="shared" si="50"/>
        <v>0</v>
      </c>
      <c r="Y83" s="136">
        <f aca="true" t="shared" si="51" ref="Y83:AE83">Y84+Y99</f>
        <v>0</v>
      </c>
      <c r="Z83" s="136">
        <f t="shared" si="51"/>
        <v>0</v>
      </c>
      <c r="AA83" s="136">
        <f t="shared" si="51"/>
        <v>0</v>
      </c>
      <c r="AB83" s="136">
        <f t="shared" si="51"/>
        <v>51829.970438000004</v>
      </c>
      <c r="AC83" s="136">
        <f t="shared" si="51"/>
        <v>27600</v>
      </c>
      <c r="AD83" s="136">
        <f t="shared" si="51"/>
        <v>27600</v>
      </c>
      <c r="AE83" s="136">
        <f t="shared" si="51"/>
        <v>0</v>
      </c>
      <c r="AF83" s="128"/>
    </row>
    <row r="84" spans="1:32" ht="42.75" customHeight="1">
      <c r="A84" s="128" t="s">
        <v>104</v>
      </c>
      <c r="B84" s="128" t="s">
        <v>87</v>
      </c>
      <c r="C84" s="128"/>
      <c r="D84" s="129"/>
      <c r="E84" s="125"/>
      <c r="F84" s="126"/>
      <c r="G84" s="125"/>
      <c r="H84" s="136">
        <f>SUM(H85:H98)</f>
        <v>1249</v>
      </c>
      <c r="I84" s="136">
        <f aca="true" t="shared" si="52" ref="I84:Q84">SUM(I85:I98)</f>
        <v>1249</v>
      </c>
      <c r="J84" s="136">
        <f t="shared" si="52"/>
        <v>0</v>
      </c>
      <c r="K84" s="136">
        <f t="shared" si="52"/>
        <v>0</v>
      </c>
      <c r="L84" s="136">
        <v>0</v>
      </c>
      <c r="M84" s="136">
        <f t="shared" si="52"/>
        <v>0</v>
      </c>
      <c r="N84" s="136">
        <f t="shared" si="52"/>
        <v>12292.213616000001</v>
      </c>
      <c r="O84" s="136">
        <f t="shared" si="52"/>
        <v>370</v>
      </c>
      <c r="P84" s="136">
        <f t="shared" si="52"/>
        <v>370</v>
      </c>
      <c r="Q84" s="136">
        <f t="shared" si="52"/>
        <v>0</v>
      </c>
      <c r="R84" s="172">
        <f>SUM(R85:R98)</f>
        <v>0</v>
      </c>
      <c r="S84" s="172">
        <v>0</v>
      </c>
      <c r="T84" s="172">
        <f aca="true" t="shared" si="53" ref="T84:Y84">SUM(T85:T98)</f>
        <v>0</v>
      </c>
      <c r="U84" s="172">
        <f t="shared" si="53"/>
        <v>12292.213616000001</v>
      </c>
      <c r="V84" s="172">
        <f t="shared" si="53"/>
        <v>370</v>
      </c>
      <c r="W84" s="172">
        <f t="shared" si="53"/>
        <v>370</v>
      </c>
      <c r="X84" s="172">
        <f t="shared" si="53"/>
        <v>0</v>
      </c>
      <c r="Y84" s="136">
        <f t="shared" si="53"/>
        <v>0</v>
      </c>
      <c r="Z84" s="136">
        <v>0</v>
      </c>
      <c r="AA84" s="136">
        <f>SUM(AA85:AA98)</f>
        <v>0</v>
      </c>
      <c r="AB84" s="136">
        <f>SUM(AB85:AB98)</f>
        <v>12292.213616000001</v>
      </c>
      <c r="AC84" s="136">
        <f>SUM(AC85:AC98)</f>
        <v>370</v>
      </c>
      <c r="AD84" s="136">
        <f>SUM(AD85:AD98)</f>
        <v>370</v>
      </c>
      <c r="AE84" s="136">
        <f>SUM(AE85:AE98)</f>
        <v>0</v>
      </c>
      <c r="AF84" s="128"/>
    </row>
    <row r="85" spans="1:36" s="120" customFormat="1" ht="40.5" customHeight="1" hidden="1">
      <c r="A85" s="133" t="s">
        <v>23</v>
      </c>
      <c r="B85" s="137" t="s">
        <v>271</v>
      </c>
      <c r="C85" s="119" t="s">
        <v>21</v>
      </c>
      <c r="D85" s="119"/>
      <c r="E85" s="116">
        <v>2018</v>
      </c>
      <c r="F85" s="115" t="s">
        <v>167</v>
      </c>
      <c r="G85" s="116">
        <v>1000</v>
      </c>
      <c r="H85" s="116">
        <v>49</v>
      </c>
      <c r="I85" s="116">
        <v>49</v>
      </c>
      <c r="J85" s="116"/>
      <c r="K85" s="115"/>
      <c r="L85" s="116"/>
      <c r="M85" s="115"/>
      <c r="N85" s="116"/>
      <c r="O85" s="116"/>
      <c r="P85" s="116"/>
      <c r="Q85" s="116"/>
      <c r="R85" s="169"/>
      <c r="S85" s="170"/>
      <c r="T85" s="169"/>
      <c r="U85" s="170"/>
      <c r="V85" s="170"/>
      <c r="W85" s="170"/>
      <c r="X85" s="170"/>
      <c r="Y85" s="115"/>
      <c r="Z85" s="116"/>
      <c r="AA85" s="115"/>
      <c r="AB85" s="116"/>
      <c r="AC85" s="116"/>
      <c r="AD85" s="116"/>
      <c r="AE85" s="116"/>
      <c r="AF85" s="221" t="s">
        <v>310</v>
      </c>
      <c r="AJ85" s="121"/>
    </row>
    <row r="86" spans="1:36" s="120" customFormat="1" ht="40.5" customHeight="1" hidden="1">
      <c r="A86" s="133" t="s">
        <v>23</v>
      </c>
      <c r="B86" s="137" t="s">
        <v>272</v>
      </c>
      <c r="C86" s="119" t="s">
        <v>21</v>
      </c>
      <c r="D86" s="119"/>
      <c r="E86" s="116">
        <v>2018</v>
      </c>
      <c r="F86" s="115" t="s">
        <v>167</v>
      </c>
      <c r="G86" s="116">
        <v>1000</v>
      </c>
      <c r="H86" s="116">
        <v>49</v>
      </c>
      <c r="I86" s="116">
        <v>49</v>
      </c>
      <c r="J86" s="116"/>
      <c r="K86" s="115"/>
      <c r="L86" s="116"/>
      <c r="M86" s="115"/>
      <c r="N86" s="116"/>
      <c r="O86" s="116"/>
      <c r="P86" s="116"/>
      <c r="Q86" s="116"/>
      <c r="R86" s="169"/>
      <c r="S86" s="170"/>
      <c r="T86" s="169"/>
      <c r="U86" s="170"/>
      <c r="V86" s="170"/>
      <c r="W86" s="170"/>
      <c r="X86" s="170"/>
      <c r="Y86" s="115"/>
      <c r="Z86" s="116"/>
      <c r="AA86" s="115"/>
      <c r="AB86" s="116"/>
      <c r="AC86" s="116"/>
      <c r="AD86" s="116"/>
      <c r="AE86" s="116"/>
      <c r="AF86" s="222"/>
      <c r="AJ86" s="121"/>
    </row>
    <row r="87" spans="1:36" s="120" customFormat="1" ht="40.5" customHeight="1" hidden="1">
      <c r="A87" s="133" t="s">
        <v>23</v>
      </c>
      <c r="B87" s="137" t="s">
        <v>273</v>
      </c>
      <c r="C87" s="119" t="s">
        <v>21</v>
      </c>
      <c r="D87" s="119"/>
      <c r="E87" s="116">
        <v>2018</v>
      </c>
      <c r="F87" s="115" t="s">
        <v>167</v>
      </c>
      <c r="G87" s="116">
        <v>1000</v>
      </c>
      <c r="H87" s="116">
        <v>49</v>
      </c>
      <c r="I87" s="116">
        <v>49</v>
      </c>
      <c r="J87" s="116"/>
      <c r="K87" s="115"/>
      <c r="L87" s="116"/>
      <c r="M87" s="115"/>
      <c r="N87" s="116"/>
      <c r="O87" s="116"/>
      <c r="P87" s="116"/>
      <c r="Q87" s="116"/>
      <c r="R87" s="169"/>
      <c r="S87" s="170"/>
      <c r="T87" s="169"/>
      <c r="U87" s="170"/>
      <c r="V87" s="170"/>
      <c r="W87" s="170"/>
      <c r="X87" s="170"/>
      <c r="Y87" s="115"/>
      <c r="Z87" s="116"/>
      <c r="AA87" s="115"/>
      <c r="AB87" s="116"/>
      <c r="AC87" s="116"/>
      <c r="AD87" s="116"/>
      <c r="AE87" s="116"/>
      <c r="AF87" s="222"/>
      <c r="AJ87" s="121"/>
    </row>
    <row r="88" spans="1:36" s="120" customFormat="1" ht="40.5" customHeight="1" hidden="1">
      <c r="A88" s="133" t="s">
        <v>23</v>
      </c>
      <c r="B88" s="137" t="s">
        <v>274</v>
      </c>
      <c r="C88" s="119" t="s">
        <v>21</v>
      </c>
      <c r="D88" s="119"/>
      <c r="E88" s="116">
        <v>2018</v>
      </c>
      <c r="F88" s="115" t="s">
        <v>167</v>
      </c>
      <c r="G88" s="116">
        <v>1000</v>
      </c>
      <c r="H88" s="116">
        <v>49</v>
      </c>
      <c r="I88" s="116">
        <v>49</v>
      </c>
      <c r="J88" s="116"/>
      <c r="K88" s="115"/>
      <c r="L88" s="116"/>
      <c r="M88" s="115"/>
      <c r="N88" s="116"/>
      <c r="O88" s="116"/>
      <c r="P88" s="116"/>
      <c r="Q88" s="116"/>
      <c r="R88" s="169"/>
      <c r="S88" s="170"/>
      <c r="T88" s="169"/>
      <c r="U88" s="170"/>
      <c r="V88" s="170"/>
      <c r="W88" s="170"/>
      <c r="X88" s="170"/>
      <c r="Y88" s="115"/>
      <c r="Z88" s="116"/>
      <c r="AA88" s="115"/>
      <c r="AB88" s="116"/>
      <c r="AC88" s="116"/>
      <c r="AD88" s="116"/>
      <c r="AE88" s="116"/>
      <c r="AF88" s="222"/>
      <c r="AJ88" s="121"/>
    </row>
    <row r="89" spans="1:36" s="120" customFormat="1" ht="40.5" customHeight="1" hidden="1">
      <c r="A89" s="133" t="s">
        <v>23</v>
      </c>
      <c r="B89" s="137" t="s">
        <v>275</v>
      </c>
      <c r="C89" s="119" t="s">
        <v>21</v>
      </c>
      <c r="D89" s="119"/>
      <c r="E89" s="116">
        <v>2018</v>
      </c>
      <c r="F89" s="115" t="s">
        <v>167</v>
      </c>
      <c r="G89" s="116">
        <v>1000</v>
      </c>
      <c r="H89" s="116">
        <v>49</v>
      </c>
      <c r="I89" s="116">
        <v>49</v>
      </c>
      <c r="J89" s="116"/>
      <c r="K89" s="115"/>
      <c r="L89" s="116"/>
      <c r="M89" s="115"/>
      <c r="N89" s="116"/>
      <c r="O89" s="116"/>
      <c r="P89" s="116"/>
      <c r="Q89" s="116"/>
      <c r="R89" s="169"/>
      <c r="S89" s="170"/>
      <c r="T89" s="169"/>
      <c r="U89" s="170"/>
      <c r="V89" s="170"/>
      <c r="W89" s="170"/>
      <c r="X89" s="170"/>
      <c r="Y89" s="115"/>
      <c r="Z89" s="116"/>
      <c r="AA89" s="115"/>
      <c r="AB89" s="116"/>
      <c r="AC89" s="116"/>
      <c r="AD89" s="116"/>
      <c r="AE89" s="116"/>
      <c r="AF89" s="222"/>
      <c r="AJ89" s="121"/>
    </row>
    <row r="90" spans="1:36" s="120" customFormat="1" ht="40.5" customHeight="1" hidden="1">
      <c r="A90" s="133" t="s">
        <v>23</v>
      </c>
      <c r="B90" s="137" t="s">
        <v>276</v>
      </c>
      <c r="C90" s="119" t="s">
        <v>21</v>
      </c>
      <c r="D90" s="119"/>
      <c r="E90" s="116">
        <v>2018</v>
      </c>
      <c r="F90" s="115" t="s">
        <v>167</v>
      </c>
      <c r="G90" s="116">
        <v>1200</v>
      </c>
      <c r="H90" s="116">
        <v>49</v>
      </c>
      <c r="I90" s="116">
        <v>49</v>
      </c>
      <c r="J90" s="116"/>
      <c r="K90" s="115"/>
      <c r="L90" s="116"/>
      <c r="M90" s="115"/>
      <c r="N90" s="116"/>
      <c r="O90" s="116"/>
      <c r="P90" s="116"/>
      <c r="Q90" s="116"/>
      <c r="R90" s="169"/>
      <c r="S90" s="170"/>
      <c r="T90" s="169"/>
      <c r="U90" s="170"/>
      <c r="V90" s="170"/>
      <c r="W90" s="170"/>
      <c r="X90" s="170"/>
      <c r="Y90" s="115"/>
      <c r="Z90" s="116"/>
      <c r="AA90" s="115"/>
      <c r="AB90" s="116"/>
      <c r="AC90" s="116"/>
      <c r="AD90" s="116"/>
      <c r="AE90" s="116"/>
      <c r="AF90" s="222"/>
      <c r="AJ90" s="121"/>
    </row>
    <row r="91" spans="1:36" s="120" customFormat="1" ht="40.5" customHeight="1" hidden="1">
      <c r="A91" s="133" t="s">
        <v>23</v>
      </c>
      <c r="B91" s="137" t="s">
        <v>277</v>
      </c>
      <c r="C91" s="119" t="s">
        <v>21</v>
      </c>
      <c r="D91" s="119"/>
      <c r="E91" s="116">
        <v>2018</v>
      </c>
      <c r="F91" s="115" t="s">
        <v>167</v>
      </c>
      <c r="G91" s="116">
        <v>1200</v>
      </c>
      <c r="H91" s="116">
        <v>49</v>
      </c>
      <c r="I91" s="116">
        <v>49</v>
      </c>
      <c r="J91" s="116"/>
      <c r="K91" s="115"/>
      <c r="L91" s="116"/>
      <c r="M91" s="115"/>
      <c r="N91" s="116"/>
      <c r="O91" s="116"/>
      <c r="P91" s="116"/>
      <c r="Q91" s="116"/>
      <c r="R91" s="169"/>
      <c r="S91" s="170"/>
      <c r="T91" s="169"/>
      <c r="U91" s="170"/>
      <c r="V91" s="170"/>
      <c r="W91" s="170"/>
      <c r="X91" s="170"/>
      <c r="Y91" s="115"/>
      <c r="Z91" s="116"/>
      <c r="AA91" s="115"/>
      <c r="AB91" s="116"/>
      <c r="AC91" s="116"/>
      <c r="AD91" s="116"/>
      <c r="AE91" s="116"/>
      <c r="AF91" s="222"/>
      <c r="AJ91" s="121"/>
    </row>
    <row r="92" spans="1:36" s="120" customFormat="1" ht="40.5" customHeight="1" hidden="1">
      <c r="A92" s="133" t="s">
        <v>23</v>
      </c>
      <c r="B92" s="137" t="s">
        <v>278</v>
      </c>
      <c r="C92" s="119" t="s">
        <v>21</v>
      </c>
      <c r="D92" s="119"/>
      <c r="E92" s="116">
        <v>2018</v>
      </c>
      <c r="F92" s="115" t="s">
        <v>167</v>
      </c>
      <c r="G92" s="116">
        <v>1200</v>
      </c>
      <c r="H92" s="116">
        <v>49</v>
      </c>
      <c r="I92" s="116">
        <v>49</v>
      </c>
      <c r="J92" s="116"/>
      <c r="K92" s="115"/>
      <c r="L92" s="116"/>
      <c r="M92" s="115"/>
      <c r="N92" s="116"/>
      <c r="O92" s="116"/>
      <c r="P92" s="116"/>
      <c r="Q92" s="116"/>
      <c r="R92" s="169"/>
      <c r="S92" s="170"/>
      <c r="T92" s="169"/>
      <c r="U92" s="170"/>
      <c r="V92" s="170"/>
      <c r="W92" s="170"/>
      <c r="X92" s="170"/>
      <c r="Y92" s="115"/>
      <c r="Z92" s="116"/>
      <c r="AA92" s="115"/>
      <c r="AB92" s="116"/>
      <c r="AC92" s="116"/>
      <c r="AD92" s="116"/>
      <c r="AE92" s="116"/>
      <c r="AF92" s="222"/>
      <c r="AJ92" s="121"/>
    </row>
    <row r="93" spans="1:36" s="120" customFormat="1" ht="40.5" customHeight="1" hidden="1">
      <c r="A93" s="133" t="s">
        <v>23</v>
      </c>
      <c r="B93" s="137" t="s">
        <v>279</v>
      </c>
      <c r="C93" s="119" t="s">
        <v>21</v>
      </c>
      <c r="D93" s="119"/>
      <c r="E93" s="116">
        <v>2018</v>
      </c>
      <c r="F93" s="115" t="s">
        <v>167</v>
      </c>
      <c r="G93" s="116">
        <v>1200</v>
      </c>
      <c r="H93" s="116">
        <v>49</v>
      </c>
      <c r="I93" s="116">
        <v>49</v>
      </c>
      <c r="J93" s="116"/>
      <c r="K93" s="115"/>
      <c r="L93" s="116"/>
      <c r="M93" s="115"/>
      <c r="N93" s="116"/>
      <c r="O93" s="116"/>
      <c r="P93" s="116"/>
      <c r="Q93" s="116"/>
      <c r="R93" s="169"/>
      <c r="S93" s="170"/>
      <c r="T93" s="169"/>
      <c r="U93" s="170"/>
      <c r="V93" s="170"/>
      <c r="W93" s="170"/>
      <c r="X93" s="170"/>
      <c r="Y93" s="115"/>
      <c r="Z93" s="116"/>
      <c r="AA93" s="115"/>
      <c r="AB93" s="116"/>
      <c r="AC93" s="116"/>
      <c r="AD93" s="116"/>
      <c r="AE93" s="116"/>
      <c r="AF93" s="222"/>
      <c r="AJ93" s="121"/>
    </row>
    <row r="94" spans="1:36" s="120" customFormat="1" ht="40.5" customHeight="1" hidden="1">
      <c r="A94" s="133" t="s">
        <v>23</v>
      </c>
      <c r="B94" s="137" t="s">
        <v>280</v>
      </c>
      <c r="C94" s="119" t="s">
        <v>21</v>
      </c>
      <c r="D94" s="119"/>
      <c r="E94" s="116">
        <v>2018</v>
      </c>
      <c r="F94" s="115" t="s">
        <v>167</v>
      </c>
      <c r="G94" s="116">
        <v>1200</v>
      </c>
      <c r="H94" s="116">
        <v>45</v>
      </c>
      <c r="I94" s="116">
        <v>45</v>
      </c>
      <c r="J94" s="116"/>
      <c r="K94" s="115"/>
      <c r="L94" s="116"/>
      <c r="M94" s="115"/>
      <c r="N94" s="116"/>
      <c r="O94" s="116"/>
      <c r="P94" s="116"/>
      <c r="Q94" s="116"/>
      <c r="R94" s="169"/>
      <c r="S94" s="170"/>
      <c r="T94" s="169"/>
      <c r="U94" s="170"/>
      <c r="V94" s="170"/>
      <c r="W94" s="170"/>
      <c r="X94" s="170"/>
      <c r="Y94" s="115"/>
      <c r="Z94" s="116"/>
      <c r="AA94" s="115"/>
      <c r="AB94" s="116"/>
      <c r="AC94" s="116"/>
      <c r="AD94" s="116"/>
      <c r="AE94" s="116"/>
      <c r="AF94" s="223"/>
      <c r="AJ94" s="121"/>
    </row>
    <row r="95" spans="1:36" s="120" customFormat="1" ht="49.5">
      <c r="A95" s="117" t="s">
        <v>23</v>
      </c>
      <c r="B95" s="138" t="s">
        <v>142</v>
      </c>
      <c r="C95" s="119" t="s">
        <v>21</v>
      </c>
      <c r="D95" s="119" t="s">
        <v>25</v>
      </c>
      <c r="E95" s="115" t="s">
        <v>37</v>
      </c>
      <c r="F95" s="115" t="s">
        <v>167</v>
      </c>
      <c r="G95" s="116">
        <v>4973</v>
      </c>
      <c r="H95" s="116">
        <f>I95</f>
        <v>348</v>
      </c>
      <c r="I95" s="116">
        <v>348</v>
      </c>
      <c r="J95" s="116"/>
      <c r="K95" s="115" t="s">
        <v>167</v>
      </c>
      <c r="L95" s="116">
        <v>4973</v>
      </c>
      <c r="M95" s="115" t="s">
        <v>185</v>
      </c>
      <c r="N95" s="116">
        <v>4466.642</v>
      </c>
      <c r="O95" s="116">
        <v>150</v>
      </c>
      <c r="P95" s="116">
        <v>150</v>
      </c>
      <c r="Q95" s="116"/>
      <c r="R95" s="169" t="s">
        <v>167</v>
      </c>
      <c r="S95" s="170">
        <v>4973</v>
      </c>
      <c r="T95" s="169" t="s">
        <v>185</v>
      </c>
      <c r="U95" s="170">
        <v>4466.642</v>
      </c>
      <c r="V95" s="170">
        <v>150</v>
      </c>
      <c r="W95" s="170">
        <v>150</v>
      </c>
      <c r="X95" s="170"/>
      <c r="Y95" s="115" t="s">
        <v>380</v>
      </c>
      <c r="Z95" s="116">
        <v>4466.642</v>
      </c>
      <c r="AA95" s="115" t="s">
        <v>185</v>
      </c>
      <c r="AB95" s="116">
        <v>4466.642</v>
      </c>
      <c r="AC95" s="116">
        <v>150</v>
      </c>
      <c r="AD95" s="116">
        <v>150</v>
      </c>
      <c r="AE95" s="116"/>
      <c r="AF95" s="119"/>
      <c r="AJ95" s="121"/>
    </row>
    <row r="96" spans="1:36" s="120" customFormat="1" ht="59.25" customHeight="1">
      <c r="A96" s="117" t="s">
        <v>23</v>
      </c>
      <c r="B96" s="118" t="s">
        <v>139</v>
      </c>
      <c r="C96" s="119" t="s">
        <v>21</v>
      </c>
      <c r="D96" s="119" t="s">
        <v>25</v>
      </c>
      <c r="E96" s="119" t="s">
        <v>37</v>
      </c>
      <c r="F96" s="115" t="s">
        <v>167</v>
      </c>
      <c r="G96" s="116">
        <v>4200</v>
      </c>
      <c r="H96" s="116">
        <f>I96</f>
        <v>294</v>
      </c>
      <c r="I96" s="116">
        <v>294</v>
      </c>
      <c r="J96" s="116"/>
      <c r="K96" s="115" t="s">
        <v>167</v>
      </c>
      <c r="L96" s="116">
        <v>4200</v>
      </c>
      <c r="M96" s="115" t="s">
        <v>171</v>
      </c>
      <c r="N96" s="116">
        <v>3780</v>
      </c>
      <c r="O96" s="116">
        <v>120</v>
      </c>
      <c r="P96" s="116">
        <v>120</v>
      </c>
      <c r="Q96" s="116"/>
      <c r="R96" s="169" t="s">
        <v>167</v>
      </c>
      <c r="S96" s="170">
        <v>4200</v>
      </c>
      <c r="T96" s="169" t="s">
        <v>171</v>
      </c>
      <c r="U96" s="170">
        <v>3780</v>
      </c>
      <c r="V96" s="170">
        <v>120</v>
      </c>
      <c r="W96" s="170">
        <v>120</v>
      </c>
      <c r="X96" s="170"/>
      <c r="Y96" s="115" t="s">
        <v>376</v>
      </c>
      <c r="Z96" s="116">
        <v>3780</v>
      </c>
      <c r="AA96" s="115" t="s">
        <v>171</v>
      </c>
      <c r="AB96" s="116">
        <v>3780</v>
      </c>
      <c r="AC96" s="116">
        <v>120</v>
      </c>
      <c r="AD96" s="116">
        <v>120</v>
      </c>
      <c r="AE96" s="116"/>
      <c r="AF96" s="119"/>
      <c r="AJ96" s="121"/>
    </row>
    <row r="97" spans="1:36" s="120" customFormat="1" ht="81.75" customHeight="1" hidden="1">
      <c r="A97" s="117" t="s">
        <v>23</v>
      </c>
      <c r="B97" s="118" t="s">
        <v>316</v>
      </c>
      <c r="C97" s="119" t="s">
        <v>21</v>
      </c>
      <c r="D97" s="119" t="s">
        <v>25</v>
      </c>
      <c r="E97" s="115" t="s">
        <v>37</v>
      </c>
      <c r="F97" s="115" t="s">
        <v>255</v>
      </c>
      <c r="G97" s="116">
        <v>1725</v>
      </c>
      <c r="H97" s="116">
        <f>I97</f>
        <v>121</v>
      </c>
      <c r="I97" s="116">
        <v>121</v>
      </c>
      <c r="J97" s="116"/>
      <c r="K97" s="115"/>
      <c r="L97" s="116"/>
      <c r="M97" s="115" t="s">
        <v>240</v>
      </c>
      <c r="N97" s="116">
        <f>L97</f>
        <v>0</v>
      </c>
      <c r="O97" s="116"/>
      <c r="P97" s="116"/>
      <c r="Q97" s="116"/>
      <c r="R97" s="169"/>
      <c r="S97" s="170"/>
      <c r="T97" s="169" t="s">
        <v>240</v>
      </c>
      <c r="U97" s="170">
        <f>S97</f>
        <v>0</v>
      </c>
      <c r="V97" s="170"/>
      <c r="W97" s="170"/>
      <c r="X97" s="170"/>
      <c r="Y97" s="115"/>
      <c r="Z97" s="116"/>
      <c r="AA97" s="115" t="s">
        <v>240</v>
      </c>
      <c r="AB97" s="116">
        <f>Z97</f>
        <v>0</v>
      </c>
      <c r="AC97" s="116"/>
      <c r="AD97" s="116"/>
      <c r="AE97" s="116"/>
      <c r="AF97" s="119" t="s">
        <v>317</v>
      </c>
      <c r="AJ97" s="121"/>
    </row>
    <row r="98" spans="1:36" s="120" customFormat="1" ht="69" customHeight="1">
      <c r="A98" s="117" t="s">
        <v>23</v>
      </c>
      <c r="B98" s="118" t="s">
        <v>220</v>
      </c>
      <c r="C98" s="119" t="s">
        <v>21</v>
      </c>
      <c r="D98" s="119" t="s">
        <v>25</v>
      </c>
      <c r="E98" s="115" t="s">
        <v>37</v>
      </c>
      <c r="F98" s="115"/>
      <c r="G98" s="116"/>
      <c r="H98" s="116"/>
      <c r="I98" s="116"/>
      <c r="J98" s="116"/>
      <c r="K98" s="115" t="s">
        <v>239</v>
      </c>
      <c r="L98" s="116">
        <f>4045.571616</f>
        <v>4045.571616</v>
      </c>
      <c r="M98" s="115" t="s">
        <v>240</v>
      </c>
      <c r="N98" s="116">
        <f>L98</f>
        <v>4045.571616</v>
      </c>
      <c r="O98" s="116">
        <v>100</v>
      </c>
      <c r="P98" s="116">
        <v>100</v>
      </c>
      <c r="Q98" s="116"/>
      <c r="R98" s="169" t="s">
        <v>239</v>
      </c>
      <c r="S98" s="170">
        <f>4045.571616</f>
        <v>4045.571616</v>
      </c>
      <c r="T98" s="169" t="s">
        <v>240</v>
      </c>
      <c r="U98" s="170">
        <f>S98</f>
        <v>4045.571616</v>
      </c>
      <c r="V98" s="170">
        <v>100</v>
      </c>
      <c r="W98" s="170">
        <v>100</v>
      </c>
      <c r="X98" s="170"/>
      <c r="Y98" s="115" t="s">
        <v>239</v>
      </c>
      <c r="Z98" s="116">
        <f>4045.571616</f>
        <v>4045.571616</v>
      </c>
      <c r="AA98" s="115" t="s">
        <v>240</v>
      </c>
      <c r="AB98" s="116">
        <f>Z98</f>
        <v>4045.571616</v>
      </c>
      <c r="AC98" s="116">
        <v>100</v>
      </c>
      <c r="AD98" s="116">
        <v>100</v>
      </c>
      <c r="AE98" s="116"/>
      <c r="AF98" s="119"/>
      <c r="AJ98" s="121"/>
    </row>
    <row r="99" spans="1:32" ht="44.25" customHeight="1">
      <c r="A99" s="128" t="s">
        <v>105</v>
      </c>
      <c r="B99" s="128" t="s">
        <v>88</v>
      </c>
      <c r="C99" s="128"/>
      <c r="D99" s="129"/>
      <c r="E99" s="125"/>
      <c r="F99" s="126"/>
      <c r="G99" s="125"/>
      <c r="H99" s="125">
        <f aca="true" t="shared" si="54" ref="H99:N99">H100+H103</f>
        <v>18751</v>
      </c>
      <c r="I99" s="125">
        <f t="shared" si="54"/>
        <v>18751</v>
      </c>
      <c r="J99" s="125">
        <f t="shared" si="54"/>
        <v>0</v>
      </c>
      <c r="K99" s="125">
        <f t="shared" si="54"/>
        <v>0</v>
      </c>
      <c r="L99" s="125">
        <f t="shared" si="54"/>
        <v>0</v>
      </c>
      <c r="M99" s="125">
        <f t="shared" si="54"/>
        <v>0</v>
      </c>
      <c r="N99" s="125">
        <f t="shared" si="54"/>
        <v>39537.756822</v>
      </c>
      <c r="O99" s="125">
        <f>O100+O103</f>
        <v>27230</v>
      </c>
      <c r="P99" s="125">
        <f>P100+P103</f>
        <v>27230</v>
      </c>
      <c r="Q99" s="125">
        <f>Q100+Q103</f>
        <v>0</v>
      </c>
      <c r="R99" s="166">
        <f aca="true" t="shared" si="55" ref="R99:X99">R100+R103</f>
        <v>0</v>
      </c>
      <c r="S99" s="166">
        <f t="shared" si="55"/>
        <v>0</v>
      </c>
      <c r="T99" s="166">
        <f t="shared" si="55"/>
        <v>0</v>
      </c>
      <c r="U99" s="166">
        <f t="shared" si="55"/>
        <v>39537.756822</v>
      </c>
      <c r="V99" s="166">
        <f t="shared" si="55"/>
        <v>27230</v>
      </c>
      <c r="W99" s="166">
        <f t="shared" si="55"/>
        <v>27230</v>
      </c>
      <c r="X99" s="166">
        <f t="shared" si="55"/>
        <v>0</v>
      </c>
      <c r="Y99" s="125">
        <f aca="true" t="shared" si="56" ref="Y99:AE99">Y100+Y103</f>
        <v>0</v>
      </c>
      <c r="Z99" s="125">
        <f t="shared" si="56"/>
        <v>0</v>
      </c>
      <c r="AA99" s="125">
        <f t="shared" si="56"/>
        <v>0</v>
      </c>
      <c r="AB99" s="125">
        <f t="shared" si="56"/>
        <v>39537.756822</v>
      </c>
      <c r="AC99" s="125">
        <f t="shared" si="56"/>
        <v>27230</v>
      </c>
      <c r="AD99" s="125">
        <f t="shared" si="56"/>
        <v>27230</v>
      </c>
      <c r="AE99" s="125">
        <f t="shared" si="56"/>
        <v>0</v>
      </c>
      <c r="AF99" s="128"/>
    </row>
    <row r="100" spans="1:32" ht="44.25" customHeight="1">
      <c r="A100" s="128" t="s">
        <v>77</v>
      </c>
      <c r="B100" s="129" t="s">
        <v>83</v>
      </c>
      <c r="C100" s="128"/>
      <c r="D100" s="129"/>
      <c r="E100" s="125"/>
      <c r="F100" s="126"/>
      <c r="G100" s="125"/>
      <c r="H100" s="125">
        <f>+H101+H102</f>
        <v>0</v>
      </c>
      <c r="I100" s="125">
        <f>+I101+I102</f>
        <v>0</v>
      </c>
      <c r="J100" s="125">
        <f>+J101+J102</f>
        <v>0</v>
      </c>
      <c r="K100" s="126"/>
      <c r="L100" s="125"/>
      <c r="M100" s="126"/>
      <c r="N100" s="125"/>
      <c r="O100" s="125">
        <f>+O101+O102</f>
        <v>0</v>
      </c>
      <c r="P100" s="125">
        <f>+P101+P102</f>
        <v>0</v>
      </c>
      <c r="Q100" s="125">
        <f>+Q101+Q102</f>
        <v>0</v>
      </c>
      <c r="R100" s="167"/>
      <c r="S100" s="166"/>
      <c r="T100" s="167"/>
      <c r="U100" s="166"/>
      <c r="V100" s="166">
        <f>+V101+V102</f>
        <v>0</v>
      </c>
      <c r="W100" s="166">
        <f>+W101+W102</f>
        <v>0</v>
      </c>
      <c r="X100" s="166">
        <f>+X101+X102</f>
        <v>0</v>
      </c>
      <c r="Y100" s="126"/>
      <c r="Z100" s="125"/>
      <c r="AA100" s="126"/>
      <c r="AB100" s="125"/>
      <c r="AC100" s="125">
        <f>+AC101+AC102</f>
        <v>0</v>
      </c>
      <c r="AD100" s="125">
        <f>+AD101+AD102</f>
        <v>0</v>
      </c>
      <c r="AE100" s="125">
        <f>+AE101+AE102</f>
        <v>0</v>
      </c>
      <c r="AF100" s="128"/>
    </row>
    <row r="101" spans="1:32" ht="33" customHeight="1">
      <c r="A101" s="128" t="s">
        <v>92</v>
      </c>
      <c r="B101" s="129" t="s">
        <v>84</v>
      </c>
      <c r="C101" s="128"/>
      <c r="D101" s="129"/>
      <c r="E101" s="125"/>
      <c r="F101" s="126"/>
      <c r="G101" s="125"/>
      <c r="H101" s="125">
        <v>0</v>
      </c>
      <c r="I101" s="125">
        <v>0</v>
      </c>
      <c r="J101" s="125">
        <v>0</v>
      </c>
      <c r="K101" s="126"/>
      <c r="L101" s="125"/>
      <c r="M101" s="126"/>
      <c r="N101" s="125"/>
      <c r="O101" s="125">
        <v>0</v>
      </c>
      <c r="P101" s="125">
        <v>0</v>
      </c>
      <c r="Q101" s="125">
        <v>0</v>
      </c>
      <c r="R101" s="167"/>
      <c r="S101" s="166"/>
      <c r="T101" s="167"/>
      <c r="U101" s="166"/>
      <c r="V101" s="166">
        <v>0</v>
      </c>
      <c r="W101" s="166">
        <v>0</v>
      </c>
      <c r="X101" s="166">
        <v>0</v>
      </c>
      <c r="Y101" s="126"/>
      <c r="Z101" s="125"/>
      <c r="AA101" s="126"/>
      <c r="AB101" s="125"/>
      <c r="AC101" s="125">
        <v>0</v>
      </c>
      <c r="AD101" s="125">
        <v>0</v>
      </c>
      <c r="AE101" s="125">
        <v>0</v>
      </c>
      <c r="AF101" s="128"/>
    </row>
    <row r="102" spans="1:32" ht="33.75" customHeight="1">
      <c r="A102" s="128" t="s">
        <v>93</v>
      </c>
      <c r="B102" s="129" t="s">
        <v>85</v>
      </c>
      <c r="C102" s="128"/>
      <c r="D102" s="129"/>
      <c r="E102" s="125"/>
      <c r="F102" s="126"/>
      <c r="G102" s="125"/>
      <c r="H102" s="125">
        <v>0</v>
      </c>
      <c r="I102" s="125">
        <v>0</v>
      </c>
      <c r="J102" s="125">
        <v>0</v>
      </c>
      <c r="K102" s="126"/>
      <c r="L102" s="125"/>
      <c r="M102" s="126"/>
      <c r="N102" s="125"/>
      <c r="O102" s="125">
        <v>0</v>
      </c>
      <c r="P102" s="125">
        <v>0</v>
      </c>
      <c r="Q102" s="125">
        <v>0</v>
      </c>
      <c r="R102" s="167"/>
      <c r="S102" s="166"/>
      <c r="T102" s="167"/>
      <c r="U102" s="166"/>
      <c r="V102" s="166">
        <v>0</v>
      </c>
      <c r="W102" s="166">
        <v>0</v>
      </c>
      <c r="X102" s="166">
        <v>0</v>
      </c>
      <c r="Y102" s="126"/>
      <c r="Z102" s="125"/>
      <c r="AA102" s="126"/>
      <c r="AB102" s="125"/>
      <c r="AC102" s="125">
        <v>0</v>
      </c>
      <c r="AD102" s="125">
        <v>0</v>
      </c>
      <c r="AE102" s="125">
        <v>0</v>
      </c>
      <c r="AF102" s="128"/>
    </row>
    <row r="103" spans="1:32" ht="35.25" customHeight="1">
      <c r="A103" s="128" t="s">
        <v>79</v>
      </c>
      <c r="B103" s="129" t="s">
        <v>86</v>
      </c>
      <c r="C103" s="128"/>
      <c r="D103" s="129"/>
      <c r="E103" s="125"/>
      <c r="F103" s="126"/>
      <c r="G103" s="125"/>
      <c r="H103" s="125">
        <f aca="true" t="shared" si="57" ref="H103:X103">H104+H129</f>
        <v>18751</v>
      </c>
      <c r="I103" s="125">
        <f t="shared" si="57"/>
        <v>18751</v>
      </c>
      <c r="J103" s="125">
        <f t="shared" si="57"/>
        <v>0</v>
      </c>
      <c r="K103" s="125">
        <f t="shared" si="57"/>
        <v>0</v>
      </c>
      <c r="L103" s="125">
        <f t="shared" si="57"/>
        <v>0</v>
      </c>
      <c r="M103" s="125">
        <f t="shared" si="57"/>
        <v>0</v>
      </c>
      <c r="N103" s="125">
        <f t="shared" si="57"/>
        <v>39537.756822</v>
      </c>
      <c r="O103" s="125">
        <f t="shared" si="57"/>
        <v>27230</v>
      </c>
      <c r="P103" s="125">
        <f t="shared" si="57"/>
        <v>27230</v>
      </c>
      <c r="Q103" s="125">
        <f t="shared" si="57"/>
        <v>0</v>
      </c>
      <c r="R103" s="166">
        <f t="shared" si="57"/>
        <v>0</v>
      </c>
      <c r="S103" s="166">
        <f t="shared" si="57"/>
        <v>0</v>
      </c>
      <c r="T103" s="166">
        <f t="shared" si="57"/>
        <v>0</v>
      </c>
      <c r="U103" s="166">
        <f t="shared" si="57"/>
        <v>39537.756822</v>
      </c>
      <c r="V103" s="166">
        <f t="shared" si="57"/>
        <v>27230</v>
      </c>
      <c r="W103" s="166">
        <f t="shared" si="57"/>
        <v>27230</v>
      </c>
      <c r="X103" s="166">
        <f t="shared" si="57"/>
        <v>0</v>
      </c>
      <c r="Y103" s="125">
        <f aca="true" t="shared" si="58" ref="Y103:AE103">Y104+Y129</f>
        <v>0</v>
      </c>
      <c r="Z103" s="125">
        <f t="shared" si="58"/>
        <v>0</v>
      </c>
      <c r="AA103" s="125">
        <f t="shared" si="58"/>
        <v>0</v>
      </c>
      <c r="AB103" s="125">
        <f t="shared" si="58"/>
        <v>39537.756822</v>
      </c>
      <c r="AC103" s="125">
        <f t="shared" si="58"/>
        <v>27230</v>
      </c>
      <c r="AD103" s="125">
        <f t="shared" si="58"/>
        <v>27230</v>
      </c>
      <c r="AE103" s="125">
        <f t="shared" si="58"/>
        <v>0</v>
      </c>
      <c r="AF103" s="128"/>
    </row>
    <row r="104" spans="1:32" ht="35.25" customHeight="1">
      <c r="A104" s="128" t="s">
        <v>89</v>
      </c>
      <c r="B104" s="129" t="s">
        <v>84</v>
      </c>
      <c r="C104" s="128"/>
      <c r="D104" s="129"/>
      <c r="E104" s="125"/>
      <c r="F104" s="126"/>
      <c r="G104" s="125"/>
      <c r="H104" s="125">
        <f>SUM(H105:H127)</f>
        <v>18751</v>
      </c>
      <c r="I104" s="125">
        <f>SUM(I105:I127)</f>
        <v>18751</v>
      </c>
      <c r="J104" s="125">
        <f>SUM(J105:J127)</f>
        <v>0</v>
      </c>
      <c r="K104" s="125">
        <f>SUM(K105:K127)</f>
        <v>0</v>
      </c>
      <c r="L104" s="125"/>
      <c r="M104" s="125">
        <f aca="true" t="shared" si="59" ref="M104:R104">SUM(M105:M127)</f>
        <v>0</v>
      </c>
      <c r="N104" s="125">
        <f t="shared" si="59"/>
        <v>39537.756822</v>
      </c>
      <c r="O104" s="125">
        <f t="shared" si="59"/>
        <v>27230</v>
      </c>
      <c r="P104" s="125">
        <f t="shared" si="59"/>
        <v>27230</v>
      </c>
      <c r="Q104" s="125">
        <f t="shared" si="59"/>
        <v>0</v>
      </c>
      <c r="R104" s="166">
        <f t="shared" si="59"/>
        <v>0</v>
      </c>
      <c r="S104" s="166"/>
      <c r="T104" s="166">
        <f aca="true" t="shared" si="60" ref="T104:Y104">SUM(T105:T127)</f>
        <v>0</v>
      </c>
      <c r="U104" s="166">
        <f t="shared" si="60"/>
        <v>39537.756822</v>
      </c>
      <c r="V104" s="166">
        <f t="shared" si="60"/>
        <v>27230</v>
      </c>
      <c r="W104" s="166">
        <f t="shared" si="60"/>
        <v>27230</v>
      </c>
      <c r="X104" s="166">
        <f t="shared" si="60"/>
        <v>0</v>
      </c>
      <c r="Y104" s="125">
        <f t="shared" si="60"/>
        <v>0</v>
      </c>
      <c r="Z104" s="125"/>
      <c r="AA104" s="125">
        <f>SUM(AA105:AA127)</f>
        <v>0</v>
      </c>
      <c r="AB104" s="125">
        <f>SUM(AB105:AB127)</f>
        <v>39537.756822</v>
      </c>
      <c r="AC104" s="125">
        <f>SUM(AC105:AC128)</f>
        <v>27230</v>
      </c>
      <c r="AD104" s="125">
        <f>SUM(AD105:AD128)</f>
        <v>27230</v>
      </c>
      <c r="AE104" s="125">
        <f>SUM(AE105:AE127)</f>
        <v>0</v>
      </c>
      <c r="AF104" s="128"/>
    </row>
    <row r="105" spans="1:36" s="120" customFormat="1" ht="81.75" customHeight="1">
      <c r="A105" s="117" t="s">
        <v>23</v>
      </c>
      <c r="B105" s="118" t="s">
        <v>71</v>
      </c>
      <c r="C105" s="119" t="s">
        <v>21</v>
      </c>
      <c r="D105" s="119" t="s">
        <v>31</v>
      </c>
      <c r="E105" s="115" t="s">
        <v>26</v>
      </c>
      <c r="F105" s="115" t="s">
        <v>183</v>
      </c>
      <c r="G105" s="116">
        <v>4965.300745</v>
      </c>
      <c r="H105" s="116">
        <f>I105</f>
        <v>2323</v>
      </c>
      <c r="I105" s="116">
        <v>2323</v>
      </c>
      <c r="J105" s="116"/>
      <c r="K105" s="115" t="s">
        <v>183</v>
      </c>
      <c r="L105" s="116">
        <v>4965.300745</v>
      </c>
      <c r="M105" s="115" t="s">
        <v>67</v>
      </c>
      <c r="N105" s="116">
        <v>4965.300745</v>
      </c>
      <c r="O105" s="116">
        <f>P105</f>
        <v>2750.3225119999997</v>
      </c>
      <c r="P105" s="116">
        <f>2509.714+240.608512</f>
        <v>2750.3225119999997</v>
      </c>
      <c r="Q105" s="116"/>
      <c r="R105" s="169" t="s">
        <v>183</v>
      </c>
      <c r="S105" s="170">
        <v>4965.300745</v>
      </c>
      <c r="T105" s="169" t="s">
        <v>67</v>
      </c>
      <c r="U105" s="170">
        <v>4965.300745</v>
      </c>
      <c r="V105" s="170">
        <f>W105</f>
        <v>2750.3225119999997</v>
      </c>
      <c r="W105" s="170">
        <f>2509.714+240.608512</f>
        <v>2750.3225119999997</v>
      </c>
      <c r="X105" s="170"/>
      <c r="Y105" s="115" t="s">
        <v>183</v>
      </c>
      <c r="Z105" s="116">
        <v>4965.300745</v>
      </c>
      <c r="AA105" s="115" t="s">
        <v>67</v>
      </c>
      <c r="AB105" s="116">
        <v>4965.300745</v>
      </c>
      <c r="AC105" s="116">
        <f>AD105</f>
        <v>2750.3225119999997</v>
      </c>
      <c r="AD105" s="116">
        <f>2509.714+240.608512</f>
        <v>2750.3225119999997</v>
      </c>
      <c r="AE105" s="116"/>
      <c r="AF105" s="119"/>
      <c r="AJ105" s="121"/>
    </row>
    <row r="106" spans="1:36" s="120" customFormat="1" ht="49.5">
      <c r="A106" s="117" t="s">
        <v>23</v>
      </c>
      <c r="B106" s="137" t="s">
        <v>39</v>
      </c>
      <c r="C106" s="119" t="s">
        <v>21</v>
      </c>
      <c r="D106" s="119" t="s">
        <v>31</v>
      </c>
      <c r="E106" s="115" t="s">
        <v>44</v>
      </c>
      <c r="F106" s="115" t="s">
        <v>46</v>
      </c>
      <c r="G106" s="116">
        <v>3456.626461</v>
      </c>
      <c r="H106" s="116">
        <f>I106</f>
        <v>1715</v>
      </c>
      <c r="I106" s="116">
        <v>1715</v>
      </c>
      <c r="J106" s="116"/>
      <c r="K106" s="115" t="s">
        <v>46</v>
      </c>
      <c r="L106" s="116">
        <v>3456.626461</v>
      </c>
      <c r="M106" s="115" t="s">
        <v>187</v>
      </c>
      <c r="N106" s="116">
        <v>3456.626461</v>
      </c>
      <c r="O106" s="116">
        <f aca="true" t="shared" si="61" ref="O106:O126">P106</f>
        <v>2061</v>
      </c>
      <c r="P106" s="116">
        <v>2061</v>
      </c>
      <c r="Q106" s="116"/>
      <c r="R106" s="169" t="s">
        <v>46</v>
      </c>
      <c r="S106" s="170">
        <v>3456.626461</v>
      </c>
      <c r="T106" s="169" t="s">
        <v>187</v>
      </c>
      <c r="U106" s="170">
        <v>3456.626461</v>
      </c>
      <c r="V106" s="170">
        <f>W106</f>
        <v>2061</v>
      </c>
      <c r="W106" s="170">
        <v>2061</v>
      </c>
      <c r="X106" s="170"/>
      <c r="Y106" s="115" t="s">
        <v>46</v>
      </c>
      <c r="Z106" s="116">
        <v>3456.626461</v>
      </c>
      <c r="AA106" s="115" t="s">
        <v>187</v>
      </c>
      <c r="AB106" s="116">
        <v>3456.626461</v>
      </c>
      <c r="AC106" s="116">
        <f>AD106</f>
        <v>2061</v>
      </c>
      <c r="AD106" s="116">
        <v>2061</v>
      </c>
      <c r="AE106" s="116"/>
      <c r="AF106" s="119"/>
      <c r="AH106" s="130"/>
      <c r="AJ106" s="121"/>
    </row>
    <row r="107" spans="1:36" s="120" customFormat="1" ht="66">
      <c r="A107" s="117" t="s">
        <v>23</v>
      </c>
      <c r="B107" s="137" t="s">
        <v>69</v>
      </c>
      <c r="C107" s="119" t="s">
        <v>21</v>
      </c>
      <c r="D107" s="119" t="s">
        <v>43</v>
      </c>
      <c r="E107" s="115" t="s">
        <v>44</v>
      </c>
      <c r="F107" s="115" t="s">
        <v>72</v>
      </c>
      <c r="G107" s="116">
        <v>3411.481</v>
      </c>
      <c r="H107" s="116">
        <f>I107</f>
        <v>2960</v>
      </c>
      <c r="I107" s="116">
        <v>2960</v>
      </c>
      <c r="J107" s="116"/>
      <c r="K107" s="115" t="s">
        <v>72</v>
      </c>
      <c r="L107" s="116">
        <v>3411.481</v>
      </c>
      <c r="M107" s="115" t="s">
        <v>188</v>
      </c>
      <c r="N107" s="116">
        <v>3411.481</v>
      </c>
      <c r="O107" s="116">
        <f t="shared" si="61"/>
        <v>3301</v>
      </c>
      <c r="P107" s="116">
        <v>3301</v>
      </c>
      <c r="Q107" s="116"/>
      <c r="R107" s="169" t="s">
        <v>72</v>
      </c>
      <c r="S107" s="170">
        <v>3411.481</v>
      </c>
      <c r="T107" s="169" t="s">
        <v>188</v>
      </c>
      <c r="U107" s="170">
        <v>3411.481</v>
      </c>
      <c r="V107" s="170">
        <f>W107</f>
        <v>3301</v>
      </c>
      <c r="W107" s="170">
        <v>3301</v>
      </c>
      <c r="X107" s="170"/>
      <c r="Y107" s="115" t="s">
        <v>72</v>
      </c>
      <c r="Z107" s="116">
        <v>3411.481</v>
      </c>
      <c r="AA107" s="115" t="s">
        <v>188</v>
      </c>
      <c r="AB107" s="116">
        <v>3411.481</v>
      </c>
      <c r="AC107" s="116">
        <f>AD107</f>
        <v>3256.481</v>
      </c>
      <c r="AD107" s="116">
        <f>3301-44.519</f>
        <v>3256.481</v>
      </c>
      <c r="AE107" s="116"/>
      <c r="AF107" s="119" t="s">
        <v>371</v>
      </c>
      <c r="AJ107" s="121"/>
    </row>
    <row r="108" spans="1:36" s="120" customFormat="1" ht="87" customHeight="1" hidden="1">
      <c r="A108" s="117" t="s">
        <v>23</v>
      </c>
      <c r="B108" s="118" t="s">
        <v>316</v>
      </c>
      <c r="C108" s="119" t="s">
        <v>21</v>
      </c>
      <c r="D108" s="119" t="s">
        <v>25</v>
      </c>
      <c r="E108" s="115" t="s">
        <v>37</v>
      </c>
      <c r="F108" s="115" t="s">
        <v>255</v>
      </c>
      <c r="G108" s="116">
        <v>1725</v>
      </c>
      <c r="H108" s="116">
        <f>I108</f>
        <v>1432</v>
      </c>
      <c r="I108" s="116">
        <v>1432</v>
      </c>
      <c r="J108" s="116"/>
      <c r="K108" s="115"/>
      <c r="L108" s="116"/>
      <c r="M108" s="115" t="s">
        <v>240</v>
      </c>
      <c r="N108" s="116">
        <f>L108</f>
        <v>0</v>
      </c>
      <c r="O108" s="116"/>
      <c r="P108" s="116"/>
      <c r="Q108" s="116"/>
      <c r="R108" s="169"/>
      <c r="S108" s="170"/>
      <c r="T108" s="169" t="s">
        <v>240</v>
      </c>
      <c r="U108" s="170">
        <f>S108</f>
        <v>0</v>
      </c>
      <c r="V108" s="170"/>
      <c r="W108" s="170"/>
      <c r="X108" s="170"/>
      <c r="Y108" s="115"/>
      <c r="Z108" s="116"/>
      <c r="AA108" s="115" t="s">
        <v>240</v>
      </c>
      <c r="AB108" s="116">
        <f>Z108</f>
        <v>0</v>
      </c>
      <c r="AC108" s="116"/>
      <c r="AD108" s="116"/>
      <c r="AE108" s="116"/>
      <c r="AF108" s="119" t="s">
        <v>317</v>
      </c>
      <c r="AJ108" s="121"/>
    </row>
    <row r="109" spans="1:36" s="120" customFormat="1" ht="56.25" customHeight="1">
      <c r="A109" s="117" t="s">
        <v>23</v>
      </c>
      <c r="B109" s="118" t="s">
        <v>220</v>
      </c>
      <c r="C109" s="119" t="s">
        <v>21</v>
      </c>
      <c r="D109" s="119" t="s">
        <v>25</v>
      </c>
      <c r="E109" s="115" t="s">
        <v>37</v>
      </c>
      <c r="F109" s="115"/>
      <c r="G109" s="116"/>
      <c r="H109" s="116"/>
      <c r="I109" s="116"/>
      <c r="J109" s="116"/>
      <c r="K109" s="115" t="s">
        <v>239</v>
      </c>
      <c r="L109" s="116">
        <f>4045.571616</f>
        <v>4045.571616</v>
      </c>
      <c r="M109" s="115" t="s">
        <v>240</v>
      </c>
      <c r="N109" s="116">
        <f>L109</f>
        <v>4045.571616</v>
      </c>
      <c r="O109" s="116">
        <f t="shared" si="61"/>
        <v>1289</v>
      </c>
      <c r="P109" s="116">
        <f>1624-335</f>
        <v>1289</v>
      </c>
      <c r="Q109" s="116"/>
      <c r="R109" s="169" t="s">
        <v>239</v>
      </c>
      <c r="S109" s="170">
        <f>4045.571616</f>
        <v>4045.571616</v>
      </c>
      <c r="T109" s="169" t="s">
        <v>240</v>
      </c>
      <c r="U109" s="170">
        <f>S109</f>
        <v>4045.571616</v>
      </c>
      <c r="V109" s="170">
        <f>W109</f>
        <v>1289</v>
      </c>
      <c r="W109" s="170">
        <f>1624-335</f>
        <v>1289</v>
      </c>
      <c r="X109" s="170"/>
      <c r="Y109" s="115" t="s">
        <v>239</v>
      </c>
      <c r="Z109" s="116">
        <f>4045.571616</f>
        <v>4045.571616</v>
      </c>
      <c r="AA109" s="115" t="s">
        <v>240</v>
      </c>
      <c r="AB109" s="116">
        <f>Z109</f>
        <v>4045.571616</v>
      </c>
      <c r="AC109" s="116">
        <f>AD109</f>
        <v>1289</v>
      </c>
      <c r="AD109" s="116">
        <f>1624-335</f>
        <v>1289</v>
      </c>
      <c r="AE109" s="116"/>
      <c r="AF109" s="119"/>
      <c r="AJ109" s="121"/>
    </row>
    <row r="110" spans="1:36" s="120" customFormat="1" ht="40.5" customHeight="1" hidden="1">
      <c r="A110" s="133" t="s">
        <v>23</v>
      </c>
      <c r="B110" s="137" t="s">
        <v>271</v>
      </c>
      <c r="C110" s="119" t="s">
        <v>21</v>
      </c>
      <c r="D110" s="119"/>
      <c r="E110" s="116">
        <v>2018</v>
      </c>
      <c r="F110" s="115" t="s">
        <v>167</v>
      </c>
      <c r="G110" s="116">
        <v>1000</v>
      </c>
      <c r="H110" s="116">
        <f>I110</f>
        <v>69</v>
      </c>
      <c r="I110" s="116">
        <v>69</v>
      </c>
      <c r="J110" s="116"/>
      <c r="K110" s="115"/>
      <c r="L110" s="116"/>
      <c r="M110" s="115"/>
      <c r="N110" s="116"/>
      <c r="O110" s="116"/>
      <c r="P110" s="116"/>
      <c r="Q110" s="116"/>
      <c r="R110" s="169"/>
      <c r="S110" s="170"/>
      <c r="T110" s="169"/>
      <c r="U110" s="170"/>
      <c r="V110" s="170"/>
      <c r="W110" s="170"/>
      <c r="X110" s="170"/>
      <c r="Y110" s="115"/>
      <c r="Z110" s="116"/>
      <c r="AA110" s="115"/>
      <c r="AB110" s="116"/>
      <c r="AC110" s="116"/>
      <c r="AD110" s="116"/>
      <c r="AE110" s="116"/>
      <c r="AF110" s="221" t="s">
        <v>281</v>
      </c>
      <c r="AJ110" s="121"/>
    </row>
    <row r="111" spans="1:36" s="120" customFormat="1" ht="40.5" customHeight="1" hidden="1">
      <c r="A111" s="133" t="s">
        <v>23</v>
      </c>
      <c r="B111" s="137" t="s">
        <v>272</v>
      </c>
      <c r="C111" s="119" t="s">
        <v>21</v>
      </c>
      <c r="D111" s="119"/>
      <c r="E111" s="116">
        <v>2018</v>
      </c>
      <c r="F111" s="115" t="s">
        <v>167</v>
      </c>
      <c r="G111" s="116">
        <v>1000</v>
      </c>
      <c r="H111" s="116">
        <f aca="true" t="shared" si="62" ref="H111:H119">I111</f>
        <v>158</v>
      </c>
      <c r="I111" s="116">
        <v>158</v>
      </c>
      <c r="J111" s="116"/>
      <c r="K111" s="115"/>
      <c r="L111" s="116"/>
      <c r="M111" s="115"/>
      <c r="N111" s="116"/>
      <c r="O111" s="116"/>
      <c r="P111" s="116"/>
      <c r="Q111" s="116"/>
      <c r="R111" s="169"/>
      <c r="S111" s="170"/>
      <c r="T111" s="169"/>
      <c r="U111" s="170"/>
      <c r="V111" s="170"/>
      <c r="W111" s="170"/>
      <c r="X111" s="170"/>
      <c r="Y111" s="115"/>
      <c r="Z111" s="116"/>
      <c r="AA111" s="115"/>
      <c r="AB111" s="116"/>
      <c r="AC111" s="116"/>
      <c r="AD111" s="116"/>
      <c r="AE111" s="116"/>
      <c r="AF111" s="222"/>
      <c r="AJ111" s="121"/>
    </row>
    <row r="112" spans="1:36" s="120" customFormat="1" ht="40.5" customHeight="1" hidden="1">
      <c r="A112" s="133" t="s">
        <v>23</v>
      </c>
      <c r="B112" s="137" t="s">
        <v>273</v>
      </c>
      <c r="C112" s="119" t="s">
        <v>21</v>
      </c>
      <c r="D112" s="119"/>
      <c r="E112" s="116">
        <v>2018</v>
      </c>
      <c r="F112" s="115" t="s">
        <v>167</v>
      </c>
      <c r="G112" s="116">
        <v>1000</v>
      </c>
      <c r="H112" s="116">
        <f t="shared" si="62"/>
        <v>66</v>
      </c>
      <c r="I112" s="116">
        <v>66</v>
      </c>
      <c r="J112" s="116"/>
      <c r="K112" s="115"/>
      <c r="L112" s="116"/>
      <c r="M112" s="115"/>
      <c r="N112" s="116"/>
      <c r="O112" s="116"/>
      <c r="P112" s="116"/>
      <c r="Q112" s="116"/>
      <c r="R112" s="169"/>
      <c r="S112" s="170"/>
      <c r="T112" s="169"/>
      <c r="U112" s="170"/>
      <c r="V112" s="170"/>
      <c r="W112" s="170"/>
      <c r="X112" s="170"/>
      <c r="Y112" s="115"/>
      <c r="Z112" s="116"/>
      <c r="AA112" s="115"/>
      <c r="AB112" s="116"/>
      <c r="AC112" s="116"/>
      <c r="AD112" s="116"/>
      <c r="AE112" s="116"/>
      <c r="AF112" s="222"/>
      <c r="AJ112" s="121"/>
    </row>
    <row r="113" spans="1:36" s="120" customFormat="1" ht="40.5" customHeight="1" hidden="1">
      <c r="A113" s="133" t="s">
        <v>23</v>
      </c>
      <c r="B113" s="137" t="s">
        <v>274</v>
      </c>
      <c r="C113" s="119" t="s">
        <v>21</v>
      </c>
      <c r="D113" s="119"/>
      <c r="E113" s="116">
        <v>2018</v>
      </c>
      <c r="F113" s="115" t="s">
        <v>167</v>
      </c>
      <c r="G113" s="116">
        <v>1000</v>
      </c>
      <c r="H113" s="116">
        <f t="shared" si="62"/>
        <v>174</v>
      </c>
      <c r="I113" s="116">
        <v>174</v>
      </c>
      <c r="J113" s="116"/>
      <c r="K113" s="115"/>
      <c r="L113" s="116"/>
      <c r="M113" s="115"/>
      <c r="N113" s="116"/>
      <c r="O113" s="116"/>
      <c r="P113" s="116"/>
      <c r="Q113" s="116"/>
      <c r="R113" s="169"/>
      <c r="S113" s="170"/>
      <c r="T113" s="169"/>
      <c r="U113" s="170"/>
      <c r="V113" s="170"/>
      <c r="W113" s="170"/>
      <c r="X113" s="170"/>
      <c r="Y113" s="115"/>
      <c r="Z113" s="116"/>
      <c r="AA113" s="115"/>
      <c r="AB113" s="116"/>
      <c r="AC113" s="116"/>
      <c r="AD113" s="116"/>
      <c r="AE113" s="116"/>
      <c r="AF113" s="222"/>
      <c r="AJ113" s="121"/>
    </row>
    <row r="114" spans="1:36" s="120" customFormat="1" ht="40.5" customHeight="1" hidden="1">
      <c r="A114" s="133" t="s">
        <v>23</v>
      </c>
      <c r="B114" s="137" t="s">
        <v>275</v>
      </c>
      <c r="C114" s="119" t="s">
        <v>21</v>
      </c>
      <c r="D114" s="119"/>
      <c r="E114" s="116">
        <v>2018</v>
      </c>
      <c r="F114" s="115" t="s">
        <v>167</v>
      </c>
      <c r="G114" s="116">
        <v>1000</v>
      </c>
      <c r="H114" s="116">
        <f t="shared" si="62"/>
        <v>159</v>
      </c>
      <c r="I114" s="116">
        <v>159</v>
      </c>
      <c r="J114" s="116"/>
      <c r="K114" s="115"/>
      <c r="L114" s="116"/>
      <c r="M114" s="115"/>
      <c r="N114" s="116"/>
      <c r="O114" s="116"/>
      <c r="P114" s="116"/>
      <c r="Q114" s="116"/>
      <c r="R114" s="169"/>
      <c r="S114" s="170"/>
      <c r="T114" s="169"/>
      <c r="U114" s="170"/>
      <c r="V114" s="170"/>
      <c r="W114" s="170"/>
      <c r="X114" s="170"/>
      <c r="Y114" s="115"/>
      <c r="Z114" s="116"/>
      <c r="AA114" s="115"/>
      <c r="AB114" s="116"/>
      <c r="AC114" s="116"/>
      <c r="AD114" s="116"/>
      <c r="AE114" s="116"/>
      <c r="AF114" s="222"/>
      <c r="AJ114" s="121"/>
    </row>
    <row r="115" spans="1:36" s="120" customFormat="1" ht="40.5" customHeight="1" hidden="1">
      <c r="A115" s="133" t="s">
        <v>23</v>
      </c>
      <c r="B115" s="137" t="s">
        <v>276</v>
      </c>
      <c r="C115" s="119" t="s">
        <v>21</v>
      </c>
      <c r="D115" s="119"/>
      <c r="E115" s="116">
        <v>2018</v>
      </c>
      <c r="F115" s="115" t="s">
        <v>167</v>
      </c>
      <c r="G115" s="116">
        <v>1200</v>
      </c>
      <c r="H115" s="116">
        <f t="shared" si="62"/>
        <v>60</v>
      </c>
      <c r="I115" s="116">
        <v>60</v>
      </c>
      <c r="J115" s="116"/>
      <c r="K115" s="115"/>
      <c r="L115" s="116"/>
      <c r="M115" s="115"/>
      <c r="N115" s="116"/>
      <c r="O115" s="116"/>
      <c r="P115" s="116"/>
      <c r="Q115" s="116"/>
      <c r="R115" s="169"/>
      <c r="S115" s="170"/>
      <c r="T115" s="169"/>
      <c r="U115" s="170"/>
      <c r="V115" s="170"/>
      <c r="W115" s="170"/>
      <c r="X115" s="170"/>
      <c r="Y115" s="115"/>
      <c r="Z115" s="116"/>
      <c r="AA115" s="115"/>
      <c r="AB115" s="116"/>
      <c r="AC115" s="116"/>
      <c r="AD115" s="116"/>
      <c r="AE115" s="116"/>
      <c r="AF115" s="222"/>
      <c r="AJ115" s="121"/>
    </row>
    <row r="116" spans="1:36" s="120" customFormat="1" ht="40.5" customHeight="1" hidden="1">
      <c r="A116" s="133" t="s">
        <v>23</v>
      </c>
      <c r="B116" s="137" t="s">
        <v>277</v>
      </c>
      <c r="C116" s="119" t="s">
        <v>21</v>
      </c>
      <c r="D116" s="119"/>
      <c r="E116" s="116">
        <v>2018</v>
      </c>
      <c r="F116" s="115" t="s">
        <v>167</v>
      </c>
      <c r="G116" s="116">
        <v>1200</v>
      </c>
      <c r="H116" s="116">
        <f t="shared" si="62"/>
        <v>355</v>
      </c>
      <c r="I116" s="116">
        <v>355</v>
      </c>
      <c r="J116" s="116"/>
      <c r="K116" s="115"/>
      <c r="L116" s="116"/>
      <c r="M116" s="115"/>
      <c r="N116" s="116"/>
      <c r="O116" s="116"/>
      <c r="P116" s="116"/>
      <c r="Q116" s="116"/>
      <c r="R116" s="169"/>
      <c r="S116" s="170"/>
      <c r="T116" s="169"/>
      <c r="U116" s="170"/>
      <c r="V116" s="170"/>
      <c r="W116" s="170"/>
      <c r="X116" s="170"/>
      <c r="Y116" s="115"/>
      <c r="Z116" s="116"/>
      <c r="AA116" s="115"/>
      <c r="AB116" s="116"/>
      <c r="AC116" s="116"/>
      <c r="AD116" s="116"/>
      <c r="AE116" s="116"/>
      <c r="AF116" s="222"/>
      <c r="AJ116" s="121"/>
    </row>
    <row r="117" spans="1:36" s="120" customFormat="1" ht="40.5" customHeight="1" hidden="1">
      <c r="A117" s="133" t="s">
        <v>23</v>
      </c>
      <c r="B117" s="137" t="s">
        <v>278</v>
      </c>
      <c r="C117" s="119" t="s">
        <v>21</v>
      </c>
      <c r="D117" s="119"/>
      <c r="E117" s="116">
        <v>2018</v>
      </c>
      <c r="F117" s="115" t="s">
        <v>167</v>
      </c>
      <c r="G117" s="116">
        <v>1200</v>
      </c>
      <c r="H117" s="116">
        <f t="shared" si="62"/>
        <v>72</v>
      </c>
      <c r="I117" s="116">
        <v>72</v>
      </c>
      <c r="J117" s="116"/>
      <c r="K117" s="115"/>
      <c r="L117" s="116"/>
      <c r="M117" s="115"/>
      <c r="N117" s="116"/>
      <c r="O117" s="116"/>
      <c r="P117" s="116"/>
      <c r="Q117" s="116"/>
      <c r="R117" s="169"/>
      <c r="S117" s="170"/>
      <c r="T117" s="169"/>
      <c r="U117" s="170"/>
      <c r="V117" s="170"/>
      <c r="W117" s="170"/>
      <c r="X117" s="170"/>
      <c r="Y117" s="115"/>
      <c r="Z117" s="116"/>
      <c r="AA117" s="115"/>
      <c r="AB117" s="116"/>
      <c r="AC117" s="116"/>
      <c r="AD117" s="116"/>
      <c r="AE117" s="116"/>
      <c r="AF117" s="222"/>
      <c r="AJ117" s="121"/>
    </row>
    <row r="118" spans="1:36" s="120" customFormat="1" ht="40.5" customHeight="1" hidden="1">
      <c r="A118" s="133" t="s">
        <v>23</v>
      </c>
      <c r="B118" s="137" t="s">
        <v>279</v>
      </c>
      <c r="C118" s="119" t="s">
        <v>21</v>
      </c>
      <c r="D118" s="119"/>
      <c r="E118" s="116">
        <v>2018</v>
      </c>
      <c r="F118" s="115" t="s">
        <v>167</v>
      </c>
      <c r="G118" s="116">
        <v>1200</v>
      </c>
      <c r="H118" s="116">
        <f t="shared" si="62"/>
        <v>108</v>
      </c>
      <c r="I118" s="116">
        <v>108</v>
      </c>
      <c r="J118" s="116"/>
      <c r="K118" s="115"/>
      <c r="L118" s="116"/>
      <c r="M118" s="115"/>
      <c r="N118" s="116"/>
      <c r="O118" s="116"/>
      <c r="P118" s="116"/>
      <c r="Q118" s="116"/>
      <c r="R118" s="169"/>
      <c r="S118" s="170"/>
      <c r="T118" s="169"/>
      <c r="U118" s="170"/>
      <c r="V118" s="170"/>
      <c r="W118" s="170"/>
      <c r="X118" s="170"/>
      <c r="Y118" s="115"/>
      <c r="Z118" s="116"/>
      <c r="AA118" s="115"/>
      <c r="AB118" s="116"/>
      <c r="AC118" s="116"/>
      <c r="AD118" s="116"/>
      <c r="AE118" s="116"/>
      <c r="AF118" s="222"/>
      <c r="AJ118" s="121"/>
    </row>
    <row r="119" spans="1:36" s="120" customFormat="1" ht="40.5" customHeight="1" hidden="1">
      <c r="A119" s="133" t="s">
        <v>23</v>
      </c>
      <c r="B119" s="137" t="s">
        <v>280</v>
      </c>
      <c r="C119" s="119" t="s">
        <v>21</v>
      </c>
      <c r="D119" s="119"/>
      <c r="E119" s="116">
        <v>2018</v>
      </c>
      <c r="F119" s="115" t="s">
        <v>167</v>
      </c>
      <c r="G119" s="116">
        <v>1200</v>
      </c>
      <c r="H119" s="116">
        <f t="shared" si="62"/>
        <v>362</v>
      </c>
      <c r="I119" s="116">
        <v>362</v>
      </c>
      <c r="J119" s="116"/>
      <c r="K119" s="115"/>
      <c r="L119" s="116"/>
      <c r="M119" s="115"/>
      <c r="N119" s="116"/>
      <c r="O119" s="116"/>
      <c r="P119" s="116"/>
      <c r="Q119" s="116"/>
      <c r="R119" s="169"/>
      <c r="S119" s="170"/>
      <c r="T119" s="169"/>
      <c r="U119" s="170"/>
      <c r="V119" s="170"/>
      <c r="W119" s="170"/>
      <c r="X119" s="170"/>
      <c r="Y119" s="115"/>
      <c r="Z119" s="116"/>
      <c r="AA119" s="115"/>
      <c r="AB119" s="116"/>
      <c r="AC119" s="116"/>
      <c r="AD119" s="116"/>
      <c r="AE119" s="116"/>
      <c r="AF119" s="223"/>
      <c r="AJ119" s="121"/>
    </row>
    <row r="120" spans="1:36" s="120" customFormat="1" ht="57" customHeight="1">
      <c r="A120" s="117" t="s">
        <v>23</v>
      </c>
      <c r="B120" s="118" t="s">
        <v>147</v>
      </c>
      <c r="C120" s="119" t="s">
        <v>21</v>
      </c>
      <c r="D120" s="119" t="s">
        <v>22</v>
      </c>
      <c r="E120" s="119" t="s">
        <v>44</v>
      </c>
      <c r="F120" s="115"/>
      <c r="G120" s="116"/>
      <c r="H120" s="116"/>
      <c r="I120" s="116"/>
      <c r="J120" s="116"/>
      <c r="K120" s="115" t="s">
        <v>172</v>
      </c>
      <c r="L120" s="116">
        <v>9930.145</v>
      </c>
      <c r="M120" s="115" t="s">
        <v>173</v>
      </c>
      <c r="N120" s="116">
        <v>9930.145</v>
      </c>
      <c r="O120" s="116">
        <f t="shared" si="61"/>
        <v>929</v>
      </c>
      <c r="P120" s="116">
        <f>594+335</f>
        <v>929</v>
      </c>
      <c r="Q120" s="116"/>
      <c r="R120" s="169" t="s">
        <v>172</v>
      </c>
      <c r="S120" s="170">
        <v>9930.145</v>
      </c>
      <c r="T120" s="169" t="s">
        <v>173</v>
      </c>
      <c r="U120" s="170">
        <v>9930.145</v>
      </c>
      <c r="V120" s="170">
        <f aca="true" t="shared" si="63" ref="V120:V127">W120</f>
        <v>929</v>
      </c>
      <c r="W120" s="170">
        <f>594+335</f>
        <v>929</v>
      </c>
      <c r="X120" s="170"/>
      <c r="Y120" s="115" t="s">
        <v>172</v>
      </c>
      <c r="Z120" s="116">
        <v>9930.145</v>
      </c>
      <c r="AA120" s="115" t="s">
        <v>173</v>
      </c>
      <c r="AB120" s="116">
        <v>9930.145</v>
      </c>
      <c r="AC120" s="116">
        <f aca="true" t="shared" si="64" ref="AC120:AC127">AD120</f>
        <v>929</v>
      </c>
      <c r="AD120" s="116">
        <f>594+335</f>
        <v>929</v>
      </c>
      <c r="AE120" s="116"/>
      <c r="AF120" s="117"/>
      <c r="AH120" s="130">
        <f>2251-120-1393</f>
        <v>738</v>
      </c>
      <c r="AJ120" s="121"/>
    </row>
    <row r="121" spans="1:36" s="120" customFormat="1" ht="49.5">
      <c r="A121" s="117" t="s">
        <v>23</v>
      </c>
      <c r="B121" s="118" t="s">
        <v>95</v>
      </c>
      <c r="C121" s="119" t="s">
        <v>21</v>
      </c>
      <c r="D121" s="119" t="s">
        <v>25</v>
      </c>
      <c r="E121" s="119" t="s">
        <v>37</v>
      </c>
      <c r="F121" s="115" t="s">
        <v>167</v>
      </c>
      <c r="G121" s="116">
        <v>6145</v>
      </c>
      <c r="H121" s="116">
        <f>I121</f>
        <v>1734</v>
      </c>
      <c r="I121" s="116">
        <v>1734</v>
      </c>
      <c r="J121" s="116"/>
      <c r="K121" s="115" t="s">
        <v>167</v>
      </c>
      <c r="L121" s="116">
        <v>6145</v>
      </c>
      <c r="M121" s="115" t="s">
        <v>169</v>
      </c>
      <c r="N121" s="116">
        <v>5481.99</v>
      </c>
      <c r="O121" s="116">
        <f t="shared" si="61"/>
        <v>2662</v>
      </c>
      <c r="P121" s="116">
        <v>2662</v>
      </c>
      <c r="Q121" s="116"/>
      <c r="R121" s="169" t="s">
        <v>167</v>
      </c>
      <c r="S121" s="170">
        <v>6145</v>
      </c>
      <c r="T121" s="169" t="s">
        <v>169</v>
      </c>
      <c r="U121" s="170">
        <v>5481.99</v>
      </c>
      <c r="V121" s="170">
        <f t="shared" si="63"/>
        <v>2662</v>
      </c>
      <c r="W121" s="170">
        <v>2662</v>
      </c>
      <c r="X121" s="170"/>
      <c r="Y121" s="115" t="s">
        <v>375</v>
      </c>
      <c r="Z121" s="116">
        <v>5481.99</v>
      </c>
      <c r="AA121" s="115" t="s">
        <v>169</v>
      </c>
      <c r="AB121" s="116">
        <v>5481.99</v>
      </c>
      <c r="AC121" s="116">
        <f t="shared" si="64"/>
        <v>2662</v>
      </c>
      <c r="AD121" s="116">
        <v>2662</v>
      </c>
      <c r="AE121" s="116"/>
      <c r="AF121" s="119"/>
      <c r="AH121" s="131"/>
      <c r="AJ121" s="121"/>
    </row>
    <row r="122" spans="1:36" s="120" customFormat="1" ht="49.5">
      <c r="A122" s="117" t="s">
        <v>23</v>
      </c>
      <c r="B122" s="138" t="s">
        <v>142</v>
      </c>
      <c r="C122" s="119" t="s">
        <v>21</v>
      </c>
      <c r="D122" s="119" t="s">
        <v>25</v>
      </c>
      <c r="E122" s="115" t="s">
        <v>37</v>
      </c>
      <c r="F122" s="115" t="s">
        <v>167</v>
      </c>
      <c r="G122" s="116">
        <v>4973</v>
      </c>
      <c r="H122" s="116">
        <f>I122</f>
        <v>4127</v>
      </c>
      <c r="I122" s="116">
        <v>4127</v>
      </c>
      <c r="J122" s="116"/>
      <c r="K122" s="115" t="s">
        <v>167</v>
      </c>
      <c r="L122" s="116">
        <v>4973</v>
      </c>
      <c r="M122" s="115" t="s">
        <v>185</v>
      </c>
      <c r="N122" s="116">
        <v>4466.642</v>
      </c>
      <c r="O122" s="116">
        <f t="shared" si="61"/>
        <v>4317</v>
      </c>
      <c r="P122" s="116">
        <v>4317</v>
      </c>
      <c r="Q122" s="116"/>
      <c r="R122" s="169" t="s">
        <v>167</v>
      </c>
      <c r="S122" s="170">
        <v>4973</v>
      </c>
      <c r="T122" s="169" t="s">
        <v>185</v>
      </c>
      <c r="U122" s="170">
        <v>4466.642</v>
      </c>
      <c r="V122" s="170">
        <f t="shared" si="63"/>
        <v>4317</v>
      </c>
      <c r="W122" s="170">
        <v>4317</v>
      </c>
      <c r="X122" s="170"/>
      <c r="Y122" s="115" t="s">
        <v>380</v>
      </c>
      <c r="Z122" s="116">
        <v>4466.642</v>
      </c>
      <c r="AA122" s="115" t="s">
        <v>185</v>
      </c>
      <c r="AB122" s="116">
        <v>4466.642</v>
      </c>
      <c r="AC122" s="116">
        <f t="shared" si="64"/>
        <v>4317</v>
      </c>
      <c r="AD122" s="116">
        <v>4317</v>
      </c>
      <c r="AE122" s="116"/>
      <c r="AF122" s="119"/>
      <c r="AH122" s="131"/>
      <c r="AJ122" s="121" t="s">
        <v>186</v>
      </c>
    </row>
    <row r="123" spans="1:36" s="120" customFormat="1" ht="49.5">
      <c r="A123" s="117" t="s">
        <v>23</v>
      </c>
      <c r="B123" s="118" t="s">
        <v>139</v>
      </c>
      <c r="C123" s="119" t="s">
        <v>21</v>
      </c>
      <c r="D123" s="119" t="s">
        <v>25</v>
      </c>
      <c r="E123" s="119" t="s">
        <v>37</v>
      </c>
      <c r="F123" s="115" t="s">
        <v>167</v>
      </c>
      <c r="G123" s="116">
        <v>4200</v>
      </c>
      <c r="H123" s="116">
        <f>I123</f>
        <v>2877</v>
      </c>
      <c r="I123" s="116">
        <v>2877</v>
      </c>
      <c r="J123" s="116"/>
      <c r="K123" s="115" t="s">
        <v>167</v>
      </c>
      <c r="L123" s="116">
        <v>4200</v>
      </c>
      <c r="M123" s="115" t="s">
        <v>171</v>
      </c>
      <c r="N123" s="116">
        <v>3780</v>
      </c>
      <c r="O123" s="116">
        <f t="shared" si="61"/>
        <v>2251</v>
      </c>
      <c r="P123" s="116">
        <v>2251</v>
      </c>
      <c r="Q123" s="116"/>
      <c r="R123" s="169" t="s">
        <v>167</v>
      </c>
      <c r="S123" s="170">
        <v>4200</v>
      </c>
      <c r="T123" s="169" t="s">
        <v>171</v>
      </c>
      <c r="U123" s="170">
        <v>3780</v>
      </c>
      <c r="V123" s="170">
        <f t="shared" si="63"/>
        <v>2251</v>
      </c>
      <c r="W123" s="170">
        <v>2251</v>
      </c>
      <c r="X123" s="170"/>
      <c r="Y123" s="115" t="s">
        <v>376</v>
      </c>
      <c r="Z123" s="116">
        <v>3780</v>
      </c>
      <c r="AA123" s="115" t="s">
        <v>171</v>
      </c>
      <c r="AB123" s="116">
        <v>3780</v>
      </c>
      <c r="AC123" s="116">
        <f t="shared" si="64"/>
        <v>2251</v>
      </c>
      <c r="AD123" s="116">
        <v>2251</v>
      </c>
      <c r="AE123" s="116"/>
      <c r="AF123" s="119"/>
      <c r="AH123" s="130"/>
      <c r="AJ123" s="121"/>
    </row>
    <row r="124" spans="1:36" s="120" customFormat="1" ht="55.5" customHeight="1">
      <c r="A124" s="117" t="s">
        <v>23</v>
      </c>
      <c r="B124" s="118" t="s">
        <v>243</v>
      </c>
      <c r="C124" s="119" t="s">
        <v>25</v>
      </c>
      <c r="D124" s="119" t="s">
        <v>25</v>
      </c>
      <c r="E124" s="119" t="s">
        <v>37</v>
      </c>
      <c r="F124" s="115"/>
      <c r="G124" s="116">
        <v>0</v>
      </c>
      <c r="H124" s="116">
        <f>I124</f>
        <v>0</v>
      </c>
      <c r="I124" s="116">
        <v>0</v>
      </c>
      <c r="J124" s="116"/>
      <c r="K124" s="115" t="s">
        <v>244</v>
      </c>
      <c r="L124" s="116">
        <v>3357.315</v>
      </c>
      <c r="M124" s="115"/>
      <c r="N124" s="116"/>
      <c r="O124" s="116">
        <f t="shared" si="61"/>
        <v>2731</v>
      </c>
      <c r="P124" s="116">
        <v>2731</v>
      </c>
      <c r="Q124" s="116"/>
      <c r="R124" s="169" t="s">
        <v>244</v>
      </c>
      <c r="S124" s="170">
        <v>3357.315</v>
      </c>
      <c r="T124" s="169"/>
      <c r="U124" s="170"/>
      <c r="V124" s="170">
        <f t="shared" si="63"/>
        <v>2731</v>
      </c>
      <c r="W124" s="170">
        <v>2731</v>
      </c>
      <c r="X124" s="170"/>
      <c r="Y124" s="115" t="s">
        <v>244</v>
      </c>
      <c r="Z124" s="116">
        <v>3357.315</v>
      </c>
      <c r="AA124" s="115"/>
      <c r="AB124" s="116"/>
      <c r="AC124" s="116">
        <f t="shared" si="64"/>
        <v>2731</v>
      </c>
      <c r="AD124" s="116">
        <v>2731</v>
      </c>
      <c r="AE124" s="116"/>
      <c r="AF124" s="139"/>
      <c r="AH124" s="130"/>
      <c r="AJ124" s="121"/>
    </row>
    <row r="125" spans="1:36" s="120" customFormat="1" ht="49.5">
      <c r="A125" s="117" t="s">
        <v>23</v>
      </c>
      <c r="B125" s="118" t="s">
        <v>190</v>
      </c>
      <c r="C125" s="119" t="s">
        <v>25</v>
      </c>
      <c r="D125" s="119" t="s">
        <v>25</v>
      </c>
      <c r="E125" s="119" t="s">
        <v>37</v>
      </c>
      <c r="F125" s="115"/>
      <c r="G125" s="116">
        <v>0</v>
      </c>
      <c r="H125" s="116">
        <f>I125</f>
        <v>0</v>
      </c>
      <c r="I125" s="116">
        <v>0</v>
      </c>
      <c r="J125" s="116"/>
      <c r="K125" s="115" t="s">
        <v>191</v>
      </c>
      <c r="L125" s="116">
        <v>4505.032</v>
      </c>
      <c r="M125" s="115"/>
      <c r="N125" s="116"/>
      <c r="O125" s="116">
        <f t="shared" si="61"/>
        <v>4491</v>
      </c>
      <c r="P125" s="116">
        <v>4491</v>
      </c>
      <c r="Q125" s="116"/>
      <c r="R125" s="169" t="s">
        <v>191</v>
      </c>
      <c r="S125" s="170">
        <v>4505.032</v>
      </c>
      <c r="T125" s="169"/>
      <c r="U125" s="170"/>
      <c r="V125" s="170">
        <f t="shared" si="63"/>
        <v>4491</v>
      </c>
      <c r="W125" s="170">
        <v>4491</v>
      </c>
      <c r="X125" s="170"/>
      <c r="Y125" s="115" t="s">
        <v>191</v>
      </c>
      <c r="Z125" s="116">
        <v>4505.032</v>
      </c>
      <c r="AA125" s="115"/>
      <c r="AB125" s="116"/>
      <c r="AC125" s="116">
        <f t="shared" si="64"/>
        <v>4491</v>
      </c>
      <c r="AD125" s="116">
        <v>4491</v>
      </c>
      <c r="AE125" s="116"/>
      <c r="AF125" s="140"/>
      <c r="AH125" s="130"/>
      <c r="AJ125" s="121"/>
    </row>
    <row r="126" spans="1:36" s="120" customFormat="1" ht="55.5" customHeight="1">
      <c r="A126" s="117" t="s">
        <v>23</v>
      </c>
      <c r="B126" s="118" t="s">
        <v>312</v>
      </c>
      <c r="C126" s="119" t="s">
        <v>25</v>
      </c>
      <c r="D126" s="119" t="s">
        <v>25</v>
      </c>
      <c r="E126" s="119" t="s">
        <v>37</v>
      </c>
      <c r="F126" s="115"/>
      <c r="G126" s="116"/>
      <c r="H126" s="116"/>
      <c r="I126" s="116"/>
      <c r="J126" s="116"/>
      <c r="K126" s="115" t="s">
        <v>245</v>
      </c>
      <c r="L126" s="116">
        <v>378</v>
      </c>
      <c r="M126" s="115"/>
      <c r="N126" s="116"/>
      <c r="O126" s="116">
        <f t="shared" si="61"/>
        <v>378</v>
      </c>
      <c r="P126" s="116">
        <v>378</v>
      </c>
      <c r="Q126" s="116"/>
      <c r="R126" s="169" t="s">
        <v>245</v>
      </c>
      <c r="S126" s="170">
        <v>378</v>
      </c>
      <c r="T126" s="169"/>
      <c r="U126" s="170"/>
      <c r="V126" s="170">
        <f t="shared" si="63"/>
        <v>378</v>
      </c>
      <c r="W126" s="170">
        <v>378</v>
      </c>
      <c r="X126" s="170"/>
      <c r="Y126" s="115" t="s">
        <v>245</v>
      </c>
      <c r="Z126" s="116">
        <v>378</v>
      </c>
      <c r="AA126" s="115"/>
      <c r="AB126" s="116"/>
      <c r="AC126" s="116">
        <f t="shared" si="64"/>
        <v>378</v>
      </c>
      <c r="AD126" s="116">
        <v>378</v>
      </c>
      <c r="AE126" s="116"/>
      <c r="AF126" s="140"/>
      <c r="AG126" s="212" t="s">
        <v>224</v>
      </c>
      <c r="AH126" s="212"/>
      <c r="AI126" s="212"/>
      <c r="AJ126" s="212"/>
    </row>
    <row r="127" spans="1:36" s="120" customFormat="1" ht="61.5" customHeight="1">
      <c r="A127" s="117" t="s">
        <v>23</v>
      </c>
      <c r="B127" s="118" t="s">
        <v>313</v>
      </c>
      <c r="C127" s="119" t="s">
        <v>21</v>
      </c>
      <c r="D127" s="119" t="s">
        <v>25</v>
      </c>
      <c r="E127" s="116" t="s">
        <v>38</v>
      </c>
      <c r="F127" s="115"/>
      <c r="G127" s="116"/>
      <c r="H127" s="116"/>
      <c r="I127" s="116"/>
      <c r="J127" s="116"/>
      <c r="K127" s="115" t="s">
        <v>255</v>
      </c>
      <c r="L127" s="116">
        <v>2971.1</v>
      </c>
      <c r="M127" s="115"/>
      <c r="N127" s="116"/>
      <c r="O127" s="116">
        <f>P127</f>
        <v>69.67748800000027</v>
      </c>
      <c r="P127" s="116">
        <f>2820-P105</f>
        <v>69.67748800000027</v>
      </c>
      <c r="Q127" s="116"/>
      <c r="R127" s="169" t="s">
        <v>255</v>
      </c>
      <c r="S127" s="170">
        <v>2971.1</v>
      </c>
      <c r="T127" s="169"/>
      <c r="U127" s="170"/>
      <c r="V127" s="170">
        <f t="shared" si="63"/>
        <v>69.67748800000027</v>
      </c>
      <c r="W127" s="170">
        <f>2820-W105</f>
        <v>69.67748800000027</v>
      </c>
      <c r="X127" s="170"/>
      <c r="Y127" s="115" t="s">
        <v>389</v>
      </c>
      <c r="Z127" s="116">
        <v>2971.1</v>
      </c>
      <c r="AA127" s="115"/>
      <c r="AB127" s="116"/>
      <c r="AC127" s="116">
        <f t="shared" si="64"/>
        <v>69.67748800000027</v>
      </c>
      <c r="AD127" s="116">
        <f>2820-AD105</f>
        <v>69.67748800000027</v>
      </c>
      <c r="AE127" s="116"/>
      <c r="AF127" s="135" t="s">
        <v>311</v>
      </c>
      <c r="AJ127" s="121"/>
    </row>
    <row r="128" spans="1:36" s="120" customFormat="1" ht="120.75" customHeight="1">
      <c r="A128" s="117" t="s">
        <v>23</v>
      </c>
      <c r="B128" s="118" t="s">
        <v>338</v>
      </c>
      <c r="C128" s="119" t="s">
        <v>21</v>
      </c>
      <c r="D128" s="119" t="s">
        <v>22</v>
      </c>
      <c r="E128" s="119" t="s">
        <v>140</v>
      </c>
      <c r="F128" s="115"/>
      <c r="G128" s="116"/>
      <c r="H128" s="116"/>
      <c r="I128" s="116"/>
      <c r="J128" s="116"/>
      <c r="K128" s="115"/>
      <c r="L128" s="116"/>
      <c r="M128" s="115"/>
      <c r="N128" s="116"/>
      <c r="O128" s="116"/>
      <c r="P128" s="116"/>
      <c r="Q128" s="116"/>
      <c r="R128" s="169"/>
      <c r="S128" s="170"/>
      <c r="T128" s="169"/>
      <c r="U128" s="170"/>
      <c r="V128" s="170"/>
      <c r="W128" s="170"/>
      <c r="X128" s="170"/>
      <c r="Y128" s="115" t="s">
        <v>377</v>
      </c>
      <c r="Z128" s="116">
        <v>3612.616839</v>
      </c>
      <c r="AA128" s="115"/>
      <c r="AB128" s="116"/>
      <c r="AC128" s="116">
        <f>AD128</f>
        <v>44.519</v>
      </c>
      <c r="AD128" s="116">
        <v>44.519</v>
      </c>
      <c r="AE128" s="116"/>
      <c r="AF128" s="135" t="s">
        <v>370</v>
      </c>
      <c r="AG128" s="130"/>
      <c r="AJ128" s="121"/>
    </row>
    <row r="129" spans="1:32" ht="33.75" customHeight="1">
      <c r="A129" s="128" t="s">
        <v>97</v>
      </c>
      <c r="B129" s="129" t="s">
        <v>101</v>
      </c>
      <c r="C129" s="128"/>
      <c r="D129" s="129"/>
      <c r="E129" s="125"/>
      <c r="F129" s="126"/>
      <c r="G129" s="125"/>
      <c r="H129" s="125"/>
      <c r="I129" s="125"/>
      <c r="J129" s="125"/>
      <c r="K129" s="126"/>
      <c r="L129" s="125"/>
      <c r="M129" s="126"/>
      <c r="N129" s="125"/>
      <c r="O129" s="125"/>
      <c r="P129" s="125"/>
      <c r="Q129" s="125"/>
      <c r="R129" s="167"/>
      <c r="S129" s="166"/>
      <c r="T129" s="167"/>
      <c r="U129" s="166"/>
      <c r="V129" s="166"/>
      <c r="W129" s="166"/>
      <c r="X129" s="166"/>
      <c r="Y129" s="126"/>
      <c r="Z129" s="125"/>
      <c r="AA129" s="126"/>
      <c r="AB129" s="125"/>
      <c r="AC129" s="125"/>
      <c r="AD129" s="125"/>
      <c r="AE129" s="125"/>
      <c r="AF129" s="128"/>
    </row>
    <row r="130" spans="1:32" ht="31.5" customHeight="1">
      <c r="A130" s="128">
        <v>6</v>
      </c>
      <c r="B130" s="128" t="s">
        <v>249</v>
      </c>
      <c r="C130" s="128"/>
      <c r="D130" s="129"/>
      <c r="E130" s="125"/>
      <c r="F130" s="126"/>
      <c r="G130" s="125">
        <f aca="true" t="shared" si="65" ref="G130:N130">G131+G132</f>
        <v>0</v>
      </c>
      <c r="H130" s="125">
        <f t="shared" si="65"/>
        <v>0</v>
      </c>
      <c r="I130" s="125">
        <f t="shared" si="65"/>
        <v>0</v>
      </c>
      <c r="J130" s="125">
        <f t="shared" si="65"/>
        <v>0</v>
      </c>
      <c r="K130" s="125">
        <f t="shared" si="65"/>
        <v>0</v>
      </c>
      <c r="L130" s="125">
        <f t="shared" si="65"/>
        <v>0</v>
      </c>
      <c r="M130" s="125">
        <f t="shared" si="65"/>
        <v>0</v>
      </c>
      <c r="N130" s="125">
        <f t="shared" si="65"/>
        <v>0</v>
      </c>
      <c r="O130" s="125">
        <f>O131+O132</f>
        <v>15001</v>
      </c>
      <c r="P130" s="125">
        <f>P131+P132</f>
        <v>15001</v>
      </c>
      <c r="Q130" s="125">
        <f>Q131+Q132</f>
        <v>0</v>
      </c>
      <c r="R130" s="166">
        <f aca="true" t="shared" si="66" ref="R130:X130">R131+R132</f>
        <v>0</v>
      </c>
      <c r="S130" s="166">
        <f t="shared" si="66"/>
        <v>0</v>
      </c>
      <c r="T130" s="166">
        <f t="shared" si="66"/>
        <v>0</v>
      </c>
      <c r="U130" s="166">
        <f t="shared" si="66"/>
        <v>0</v>
      </c>
      <c r="V130" s="166">
        <f t="shared" si="66"/>
        <v>15001</v>
      </c>
      <c r="W130" s="166">
        <f t="shared" si="66"/>
        <v>15001</v>
      </c>
      <c r="X130" s="166">
        <f t="shared" si="66"/>
        <v>0</v>
      </c>
      <c r="Y130" s="125">
        <f aca="true" t="shared" si="67" ref="Y130:AE130">Y131+Y132</f>
        <v>0</v>
      </c>
      <c r="Z130" s="125">
        <f t="shared" si="67"/>
        <v>0</v>
      </c>
      <c r="AA130" s="125">
        <f t="shared" si="67"/>
        <v>0</v>
      </c>
      <c r="AB130" s="125">
        <f t="shared" si="67"/>
        <v>0</v>
      </c>
      <c r="AC130" s="125">
        <f t="shared" si="67"/>
        <v>15001</v>
      </c>
      <c r="AD130" s="125">
        <f t="shared" si="67"/>
        <v>15001</v>
      </c>
      <c r="AE130" s="125">
        <f t="shared" si="67"/>
        <v>0</v>
      </c>
      <c r="AF130" s="128"/>
    </row>
    <row r="131" spans="1:32" ht="26.25" customHeight="1">
      <c r="A131" s="128" t="s">
        <v>250</v>
      </c>
      <c r="B131" s="128" t="s">
        <v>87</v>
      </c>
      <c r="C131" s="128"/>
      <c r="D131" s="129"/>
      <c r="E131" s="125"/>
      <c r="F131" s="126"/>
      <c r="G131" s="125"/>
      <c r="H131" s="141">
        <v>0</v>
      </c>
      <c r="I131" s="141">
        <v>0</v>
      </c>
      <c r="J131" s="141">
        <v>0</v>
      </c>
      <c r="K131" s="126"/>
      <c r="L131" s="125"/>
      <c r="M131" s="126"/>
      <c r="N131" s="125"/>
      <c r="O131" s="125">
        <v>0</v>
      </c>
      <c r="P131" s="125">
        <v>0</v>
      </c>
      <c r="Q131" s="141">
        <v>0</v>
      </c>
      <c r="R131" s="167"/>
      <c r="S131" s="166"/>
      <c r="T131" s="167"/>
      <c r="U131" s="166"/>
      <c r="V131" s="166">
        <v>0</v>
      </c>
      <c r="W131" s="166">
        <v>0</v>
      </c>
      <c r="X131" s="173">
        <v>0</v>
      </c>
      <c r="Y131" s="126"/>
      <c r="Z131" s="125"/>
      <c r="AA131" s="126"/>
      <c r="AB131" s="125"/>
      <c r="AC131" s="125">
        <v>0</v>
      </c>
      <c r="AD131" s="125">
        <v>0</v>
      </c>
      <c r="AE131" s="141">
        <v>0</v>
      </c>
      <c r="AF131" s="128"/>
    </row>
    <row r="132" spans="1:32" ht="35.25" customHeight="1">
      <c r="A132" s="128" t="s">
        <v>251</v>
      </c>
      <c r="B132" s="128" t="s">
        <v>88</v>
      </c>
      <c r="C132" s="128"/>
      <c r="D132" s="129"/>
      <c r="E132" s="125"/>
      <c r="F132" s="126"/>
      <c r="G132" s="125">
        <f aca="true" t="shared" si="68" ref="G132:N132">G133+G136</f>
        <v>0</v>
      </c>
      <c r="H132" s="125">
        <f t="shared" si="68"/>
        <v>0</v>
      </c>
      <c r="I132" s="125">
        <f t="shared" si="68"/>
        <v>0</v>
      </c>
      <c r="J132" s="125">
        <f t="shared" si="68"/>
        <v>0</v>
      </c>
      <c r="K132" s="125">
        <f t="shared" si="68"/>
        <v>0</v>
      </c>
      <c r="L132" s="125">
        <f t="shared" si="68"/>
        <v>0</v>
      </c>
      <c r="M132" s="125">
        <f t="shared" si="68"/>
        <v>0</v>
      </c>
      <c r="N132" s="125">
        <f t="shared" si="68"/>
        <v>0</v>
      </c>
      <c r="O132" s="125">
        <f>O133+O136</f>
        <v>15001</v>
      </c>
      <c r="P132" s="125">
        <f>P133+P136</f>
        <v>15001</v>
      </c>
      <c r="Q132" s="125">
        <f>Q133+Q136</f>
        <v>0</v>
      </c>
      <c r="R132" s="166">
        <f aca="true" t="shared" si="69" ref="R132:X132">R133+R136</f>
        <v>0</v>
      </c>
      <c r="S132" s="166">
        <f t="shared" si="69"/>
        <v>0</v>
      </c>
      <c r="T132" s="166">
        <f t="shared" si="69"/>
        <v>0</v>
      </c>
      <c r="U132" s="166">
        <f t="shared" si="69"/>
        <v>0</v>
      </c>
      <c r="V132" s="166">
        <f t="shared" si="69"/>
        <v>15001</v>
      </c>
      <c r="W132" s="166">
        <f t="shared" si="69"/>
        <v>15001</v>
      </c>
      <c r="X132" s="166">
        <f t="shared" si="69"/>
        <v>0</v>
      </c>
      <c r="Y132" s="125">
        <f aca="true" t="shared" si="70" ref="Y132:AE132">Y133+Y136</f>
        <v>0</v>
      </c>
      <c r="Z132" s="125">
        <f t="shared" si="70"/>
        <v>0</v>
      </c>
      <c r="AA132" s="125">
        <f t="shared" si="70"/>
        <v>0</v>
      </c>
      <c r="AB132" s="125">
        <f t="shared" si="70"/>
        <v>0</v>
      </c>
      <c r="AC132" s="125">
        <f t="shared" si="70"/>
        <v>15001</v>
      </c>
      <c r="AD132" s="125">
        <f t="shared" si="70"/>
        <v>15001</v>
      </c>
      <c r="AE132" s="125">
        <f t="shared" si="70"/>
        <v>0</v>
      </c>
      <c r="AF132" s="128"/>
    </row>
    <row r="133" spans="1:32" ht="39" customHeight="1">
      <c r="A133" s="128" t="s">
        <v>77</v>
      </c>
      <c r="B133" s="129" t="s">
        <v>83</v>
      </c>
      <c r="C133" s="128"/>
      <c r="D133" s="129"/>
      <c r="E133" s="125"/>
      <c r="F133" s="126"/>
      <c r="G133" s="125"/>
      <c r="H133" s="141">
        <f>+H134+H135</f>
        <v>0</v>
      </c>
      <c r="I133" s="141">
        <f>+I134+I135</f>
        <v>0</v>
      </c>
      <c r="J133" s="125">
        <f>+J134+J135</f>
        <v>0</v>
      </c>
      <c r="K133" s="126"/>
      <c r="L133" s="125"/>
      <c r="M133" s="126"/>
      <c r="N133" s="125"/>
      <c r="O133" s="125">
        <f>+O134+O135</f>
        <v>0</v>
      </c>
      <c r="P133" s="125">
        <f>+P134+P135</f>
        <v>0</v>
      </c>
      <c r="Q133" s="125">
        <f>+Q134+Q135</f>
        <v>0</v>
      </c>
      <c r="R133" s="167"/>
      <c r="S133" s="166"/>
      <c r="T133" s="167"/>
      <c r="U133" s="166"/>
      <c r="V133" s="166">
        <f>+V134+V135</f>
        <v>0</v>
      </c>
      <c r="W133" s="166">
        <f>+W134+W135</f>
        <v>0</v>
      </c>
      <c r="X133" s="166">
        <f>+X134+X135</f>
        <v>0</v>
      </c>
      <c r="Y133" s="126"/>
      <c r="Z133" s="125"/>
      <c r="AA133" s="126"/>
      <c r="AB133" s="125"/>
      <c r="AC133" s="125">
        <f>+AC134+AC135</f>
        <v>0</v>
      </c>
      <c r="AD133" s="125">
        <f>+AD134+AD135</f>
        <v>0</v>
      </c>
      <c r="AE133" s="125">
        <f>+AE134+AE135</f>
        <v>0</v>
      </c>
      <c r="AF133" s="128"/>
    </row>
    <row r="134" spans="1:32" ht="30" customHeight="1">
      <c r="A134" s="128" t="s">
        <v>92</v>
      </c>
      <c r="B134" s="129" t="s">
        <v>84</v>
      </c>
      <c r="C134" s="128"/>
      <c r="D134" s="129"/>
      <c r="E134" s="125"/>
      <c r="F134" s="126"/>
      <c r="G134" s="125"/>
      <c r="H134" s="141">
        <v>0</v>
      </c>
      <c r="I134" s="141">
        <v>0</v>
      </c>
      <c r="J134" s="125">
        <v>0</v>
      </c>
      <c r="K134" s="126"/>
      <c r="L134" s="125"/>
      <c r="M134" s="126"/>
      <c r="N134" s="125"/>
      <c r="O134" s="125">
        <v>0</v>
      </c>
      <c r="P134" s="125">
        <v>0</v>
      </c>
      <c r="Q134" s="125">
        <v>0</v>
      </c>
      <c r="R134" s="167"/>
      <c r="S134" s="166"/>
      <c r="T134" s="167"/>
      <c r="U134" s="166"/>
      <c r="V134" s="166">
        <v>0</v>
      </c>
      <c r="W134" s="166">
        <v>0</v>
      </c>
      <c r="X134" s="166">
        <v>0</v>
      </c>
      <c r="Y134" s="126"/>
      <c r="Z134" s="125"/>
      <c r="AA134" s="126"/>
      <c r="AB134" s="125"/>
      <c r="AC134" s="125">
        <v>0</v>
      </c>
      <c r="AD134" s="125">
        <v>0</v>
      </c>
      <c r="AE134" s="125">
        <v>0</v>
      </c>
      <c r="AF134" s="128"/>
    </row>
    <row r="135" spans="1:32" ht="27.75" customHeight="1">
      <c r="A135" s="128" t="s">
        <v>93</v>
      </c>
      <c r="B135" s="129" t="s">
        <v>85</v>
      </c>
      <c r="C135" s="128"/>
      <c r="D135" s="129"/>
      <c r="E135" s="125"/>
      <c r="F135" s="126"/>
      <c r="G135" s="125"/>
      <c r="H135" s="141">
        <v>0</v>
      </c>
      <c r="I135" s="141">
        <v>0</v>
      </c>
      <c r="J135" s="125">
        <v>0</v>
      </c>
      <c r="K135" s="126"/>
      <c r="L135" s="125"/>
      <c r="M135" s="126"/>
      <c r="N135" s="125"/>
      <c r="O135" s="125">
        <v>0</v>
      </c>
      <c r="P135" s="125">
        <v>0</v>
      </c>
      <c r="Q135" s="125">
        <v>0</v>
      </c>
      <c r="R135" s="167"/>
      <c r="S135" s="166"/>
      <c r="T135" s="167"/>
      <c r="U135" s="166"/>
      <c r="V135" s="166">
        <v>0</v>
      </c>
      <c r="W135" s="166">
        <v>0</v>
      </c>
      <c r="X135" s="166">
        <v>0</v>
      </c>
      <c r="Y135" s="126"/>
      <c r="Z135" s="125"/>
      <c r="AA135" s="126"/>
      <c r="AB135" s="125"/>
      <c r="AC135" s="125">
        <v>0</v>
      </c>
      <c r="AD135" s="125">
        <v>0</v>
      </c>
      <c r="AE135" s="125">
        <v>0</v>
      </c>
      <c r="AF135" s="128"/>
    </row>
    <row r="136" spans="1:32" ht="31.5" customHeight="1">
      <c r="A136" s="128" t="s">
        <v>79</v>
      </c>
      <c r="B136" s="129" t="s">
        <v>86</v>
      </c>
      <c r="C136" s="128"/>
      <c r="D136" s="129"/>
      <c r="E136" s="125"/>
      <c r="F136" s="126"/>
      <c r="G136" s="125"/>
      <c r="H136" s="141">
        <f>H137+H189</f>
        <v>0</v>
      </c>
      <c r="I136" s="141">
        <f>I137+I189</f>
        <v>0</v>
      </c>
      <c r="J136" s="125">
        <f>J137+J189</f>
        <v>0</v>
      </c>
      <c r="K136" s="126"/>
      <c r="L136" s="125"/>
      <c r="M136" s="126"/>
      <c r="N136" s="125"/>
      <c r="O136" s="125">
        <f>O137+O140</f>
        <v>15001</v>
      </c>
      <c r="P136" s="125">
        <f>P137+P140</f>
        <v>15001</v>
      </c>
      <c r="Q136" s="125">
        <f>Q137+Q140</f>
        <v>0</v>
      </c>
      <c r="R136" s="167"/>
      <c r="S136" s="166"/>
      <c r="T136" s="167"/>
      <c r="U136" s="166"/>
      <c r="V136" s="166">
        <f>V137+V140</f>
        <v>15001</v>
      </c>
      <c r="W136" s="166">
        <f>W137+W140</f>
        <v>15001</v>
      </c>
      <c r="X136" s="166">
        <f>X137+X140</f>
        <v>0</v>
      </c>
      <c r="Y136" s="126"/>
      <c r="Z136" s="125"/>
      <c r="AA136" s="126"/>
      <c r="AB136" s="125"/>
      <c r="AC136" s="125">
        <f>AC137+AC140</f>
        <v>15001</v>
      </c>
      <c r="AD136" s="125">
        <f>AD137+AD140</f>
        <v>15001</v>
      </c>
      <c r="AE136" s="125">
        <f>AE137+AE140</f>
        <v>0</v>
      </c>
      <c r="AF136" s="128"/>
    </row>
    <row r="137" spans="1:32" ht="29.25" customHeight="1">
      <c r="A137" s="128" t="s">
        <v>89</v>
      </c>
      <c r="B137" s="129" t="s">
        <v>84</v>
      </c>
      <c r="C137" s="128"/>
      <c r="D137" s="129"/>
      <c r="E137" s="125"/>
      <c r="F137" s="126"/>
      <c r="G137" s="125"/>
      <c r="H137" s="125">
        <f aca="true" t="shared" si="71" ref="H137:N137">SUM(H138:H139)</f>
        <v>0</v>
      </c>
      <c r="I137" s="125">
        <f t="shared" si="71"/>
        <v>0</v>
      </c>
      <c r="J137" s="125">
        <f t="shared" si="71"/>
        <v>0</v>
      </c>
      <c r="K137" s="125">
        <f t="shared" si="71"/>
        <v>0</v>
      </c>
      <c r="L137" s="125"/>
      <c r="M137" s="125">
        <f t="shared" si="71"/>
        <v>0</v>
      </c>
      <c r="N137" s="125">
        <f t="shared" si="71"/>
        <v>37750.04</v>
      </c>
      <c r="O137" s="125">
        <f>SUM(O138:O139)</f>
        <v>15001</v>
      </c>
      <c r="P137" s="125">
        <f>SUM(P138:P139)</f>
        <v>15001</v>
      </c>
      <c r="Q137" s="125">
        <f>SUM(Q138:Q139)</f>
        <v>0</v>
      </c>
      <c r="R137" s="166">
        <f>SUM(R138:R139)</f>
        <v>0</v>
      </c>
      <c r="S137" s="166"/>
      <c r="T137" s="166">
        <f aca="true" t="shared" si="72" ref="T137:Y137">SUM(T138:T139)</f>
        <v>0</v>
      </c>
      <c r="U137" s="166">
        <f t="shared" si="72"/>
        <v>37750.04</v>
      </c>
      <c r="V137" s="166">
        <f t="shared" si="72"/>
        <v>15001</v>
      </c>
      <c r="W137" s="166">
        <f t="shared" si="72"/>
        <v>15001</v>
      </c>
      <c r="X137" s="166">
        <f t="shared" si="72"/>
        <v>0</v>
      </c>
      <c r="Y137" s="125">
        <f t="shared" si="72"/>
        <v>0</v>
      </c>
      <c r="Z137" s="125"/>
      <c r="AA137" s="125">
        <f>SUM(AA138:AA139)</f>
        <v>0</v>
      </c>
      <c r="AB137" s="125">
        <f>SUM(AB138:AB139)</f>
        <v>37750.04</v>
      </c>
      <c r="AC137" s="125">
        <f>SUM(AC138:AC139)</f>
        <v>15001</v>
      </c>
      <c r="AD137" s="125">
        <f>SUM(AD138:AD139)</f>
        <v>15001</v>
      </c>
      <c r="AE137" s="125">
        <f>SUM(AE138:AE139)</f>
        <v>0</v>
      </c>
      <c r="AF137" s="128"/>
    </row>
    <row r="138" spans="1:36" s="120" customFormat="1" ht="53.25" customHeight="1">
      <c r="A138" s="117" t="s">
        <v>23</v>
      </c>
      <c r="B138" s="118" t="s">
        <v>364</v>
      </c>
      <c r="C138" s="119" t="s">
        <v>21</v>
      </c>
      <c r="D138" s="119" t="s">
        <v>22</v>
      </c>
      <c r="E138" s="119" t="s">
        <v>44</v>
      </c>
      <c r="F138" s="115"/>
      <c r="G138" s="116"/>
      <c r="H138" s="116"/>
      <c r="I138" s="116"/>
      <c r="J138" s="116"/>
      <c r="K138" s="115" t="s">
        <v>228</v>
      </c>
      <c r="L138" s="116">
        <v>37750.04</v>
      </c>
      <c r="M138" s="115" t="s">
        <v>252</v>
      </c>
      <c r="N138" s="116">
        <v>37750.04</v>
      </c>
      <c r="O138" s="116">
        <v>15000</v>
      </c>
      <c r="P138" s="116">
        <f>O138</f>
        <v>15000</v>
      </c>
      <c r="Q138" s="116"/>
      <c r="R138" s="169" t="s">
        <v>228</v>
      </c>
      <c r="S138" s="170">
        <v>37750.04</v>
      </c>
      <c r="T138" s="169" t="s">
        <v>252</v>
      </c>
      <c r="U138" s="170">
        <v>37750.04</v>
      </c>
      <c r="V138" s="170">
        <v>15000</v>
      </c>
      <c r="W138" s="170">
        <f>V138</f>
        <v>15000</v>
      </c>
      <c r="X138" s="170"/>
      <c r="Y138" s="169" t="s">
        <v>228</v>
      </c>
      <c r="Z138" s="116">
        <v>37750.04</v>
      </c>
      <c r="AA138" s="115" t="s">
        <v>252</v>
      </c>
      <c r="AB138" s="116">
        <v>37750.04</v>
      </c>
      <c r="AC138" s="116">
        <v>15000</v>
      </c>
      <c r="AD138" s="116">
        <f>AC138</f>
        <v>15000</v>
      </c>
      <c r="AE138" s="116"/>
      <c r="AF138" s="139"/>
      <c r="AH138" s="130"/>
      <c r="AJ138" s="121"/>
    </row>
    <row r="139" spans="1:36" s="120" customFormat="1" ht="57.75" customHeight="1">
      <c r="A139" s="117" t="s">
        <v>23</v>
      </c>
      <c r="B139" s="118" t="s">
        <v>253</v>
      </c>
      <c r="C139" s="119" t="s">
        <v>43</v>
      </c>
      <c r="D139" s="119" t="s">
        <v>22</v>
      </c>
      <c r="E139" s="119" t="s">
        <v>37</v>
      </c>
      <c r="F139" s="115"/>
      <c r="G139" s="116"/>
      <c r="H139" s="116"/>
      <c r="I139" s="116"/>
      <c r="J139" s="116"/>
      <c r="K139" s="115"/>
      <c r="L139" s="116">
        <v>20</v>
      </c>
      <c r="M139" s="115"/>
      <c r="N139" s="116"/>
      <c r="O139" s="116">
        <v>1</v>
      </c>
      <c r="P139" s="116">
        <v>1</v>
      </c>
      <c r="Q139" s="116"/>
      <c r="R139" s="169"/>
      <c r="S139" s="170">
        <v>20</v>
      </c>
      <c r="T139" s="169"/>
      <c r="U139" s="170"/>
      <c r="V139" s="170">
        <v>1</v>
      </c>
      <c r="W139" s="170">
        <v>1</v>
      </c>
      <c r="X139" s="170"/>
      <c r="Y139" s="115"/>
      <c r="Z139" s="116">
        <v>20</v>
      </c>
      <c r="AA139" s="115"/>
      <c r="AB139" s="116"/>
      <c r="AC139" s="116">
        <v>1</v>
      </c>
      <c r="AD139" s="116">
        <v>1</v>
      </c>
      <c r="AE139" s="116"/>
      <c r="AF139" s="140"/>
      <c r="AH139" s="130"/>
      <c r="AJ139" s="121"/>
    </row>
    <row r="140" spans="1:32" ht="36.75" customHeight="1">
      <c r="A140" s="128" t="s">
        <v>97</v>
      </c>
      <c r="B140" s="129" t="s">
        <v>101</v>
      </c>
      <c r="C140" s="128"/>
      <c r="D140" s="129"/>
      <c r="E140" s="125"/>
      <c r="F140" s="126"/>
      <c r="G140" s="125"/>
      <c r="H140" s="125">
        <v>0</v>
      </c>
      <c r="I140" s="125">
        <v>0</v>
      </c>
      <c r="J140" s="125"/>
      <c r="K140" s="126"/>
      <c r="L140" s="125"/>
      <c r="M140" s="126"/>
      <c r="N140" s="125"/>
      <c r="O140" s="125">
        <v>0</v>
      </c>
      <c r="P140" s="125">
        <v>0</v>
      </c>
      <c r="Q140" s="125"/>
      <c r="R140" s="167"/>
      <c r="S140" s="166"/>
      <c r="T140" s="167"/>
      <c r="U140" s="166"/>
      <c r="V140" s="166">
        <v>0</v>
      </c>
      <c r="W140" s="166">
        <v>0</v>
      </c>
      <c r="X140" s="166"/>
      <c r="Y140" s="126"/>
      <c r="Z140" s="125"/>
      <c r="AA140" s="126"/>
      <c r="AB140" s="125"/>
      <c r="AC140" s="125">
        <v>0</v>
      </c>
      <c r="AD140" s="125">
        <v>0</v>
      </c>
      <c r="AE140" s="125"/>
      <c r="AF140" s="128"/>
    </row>
    <row r="141" spans="1:32" ht="36.75" customHeight="1">
      <c r="A141" s="128" t="s">
        <v>6</v>
      </c>
      <c r="B141" s="128" t="s">
        <v>260</v>
      </c>
      <c r="C141" s="128"/>
      <c r="D141" s="129"/>
      <c r="E141" s="125"/>
      <c r="F141" s="126"/>
      <c r="G141" s="125"/>
      <c r="H141" s="125">
        <f aca="true" t="shared" si="73" ref="H141:N141">H142+H143</f>
        <v>11700</v>
      </c>
      <c r="I141" s="125">
        <f t="shared" si="73"/>
        <v>11700</v>
      </c>
      <c r="J141" s="125">
        <f t="shared" si="73"/>
        <v>0</v>
      </c>
      <c r="K141" s="125">
        <f t="shared" si="73"/>
        <v>0</v>
      </c>
      <c r="L141" s="125">
        <f t="shared" si="73"/>
        <v>0</v>
      </c>
      <c r="M141" s="125">
        <f t="shared" si="73"/>
        <v>0</v>
      </c>
      <c r="N141" s="125">
        <f t="shared" si="73"/>
        <v>37750.04</v>
      </c>
      <c r="O141" s="125">
        <f>O142+O143</f>
        <v>52547.607</v>
      </c>
      <c r="P141" s="125">
        <f>P142+P143</f>
        <v>52547.607</v>
      </c>
      <c r="Q141" s="125">
        <f>Q142+Q143</f>
        <v>0</v>
      </c>
      <c r="R141" s="166">
        <f aca="true" t="shared" si="74" ref="R141:X141">R142+R143</f>
        <v>0</v>
      </c>
      <c r="S141" s="166">
        <f t="shared" si="74"/>
        <v>0</v>
      </c>
      <c r="T141" s="166">
        <f t="shared" si="74"/>
        <v>0</v>
      </c>
      <c r="U141" s="166">
        <f t="shared" si="74"/>
        <v>37750.04</v>
      </c>
      <c r="V141" s="166">
        <f t="shared" si="74"/>
        <v>98624.207</v>
      </c>
      <c r="W141" s="166">
        <f t="shared" si="74"/>
        <v>98624.207</v>
      </c>
      <c r="X141" s="166">
        <f t="shared" si="74"/>
        <v>0</v>
      </c>
      <c r="Y141" s="125">
        <f aca="true" t="shared" si="75" ref="Y141:AE141">Y142+Y143</f>
        <v>0</v>
      </c>
      <c r="Z141" s="125">
        <f t="shared" si="75"/>
        <v>0</v>
      </c>
      <c r="AA141" s="125">
        <f t="shared" si="75"/>
        <v>0</v>
      </c>
      <c r="AB141" s="125">
        <f t="shared" si="75"/>
        <v>37750.04</v>
      </c>
      <c r="AC141" s="125">
        <f t="shared" si="75"/>
        <v>98624.207</v>
      </c>
      <c r="AD141" s="125">
        <f t="shared" si="75"/>
        <v>98624.207</v>
      </c>
      <c r="AE141" s="125">
        <f t="shared" si="75"/>
        <v>0</v>
      </c>
      <c r="AF141" s="128"/>
    </row>
    <row r="142" spans="1:32" ht="36.75" customHeight="1">
      <c r="A142" s="128">
        <v>1</v>
      </c>
      <c r="B142" s="128" t="s">
        <v>87</v>
      </c>
      <c r="C142" s="128"/>
      <c r="D142" s="129"/>
      <c r="E142" s="125"/>
      <c r="F142" s="126"/>
      <c r="G142" s="125"/>
      <c r="H142" s="125">
        <v>0</v>
      </c>
      <c r="I142" s="125">
        <v>0</v>
      </c>
      <c r="J142" s="125"/>
      <c r="K142" s="126"/>
      <c r="L142" s="125"/>
      <c r="M142" s="126"/>
      <c r="N142" s="125"/>
      <c r="O142" s="125">
        <v>0</v>
      </c>
      <c r="P142" s="125">
        <v>0</v>
      </c>
      <c r="Q142" s="125"/>
      <c r="R142" s="167"/>
      <c r="S142" s="166"/>
      <c r="T142" s="167"/>
      <c r="U142" s="166"/>
      <c r="V142" s="166">
        <v>0</v>
      </c>
      <c r="W142" s="166">
        <v>0</v>
      </c>
      <c r="X142" s="166"/>
      <c r="Y142" s="126"/>
      <c r="Z142" s="125"/>
      <c r="AA142" s="126"/>
      <c r="AB142" s="125"/>
      <c r="AC142" s="125">
        <v>0</v>
      </c>
      <c r="AD142" s="125">
        <v>0</v>
      </c>
      <c r="AE142" s="125"/>
      <c r="AF142" s="128"/>
    </row>
    <row r="143" spans="1:32" ht="36.75" customHeight="1">
      <c r="A143" s="128">
        <v>2</v>
      </c>
      <c r="B143" s="128" t="s">
        <v>88</v>
      </c>
      <c r="C143" s="128"/>
      <c r="D143" s="128"/>
      <c r="E143" s="125"/>
      <c r="F143" s="126"/>
      <c r="G143" s="125"/>
      <c r="H143" s="125">
        <f aca="true" t="shared" si="76" ref="H143:N143">H144+H147</f>
        <v>11700</v>
      </c>
      <c r="I143" s="125">
        <f t="shared" si="76"/>
        <v>11700</v>
      </c>
      <c r="J143" s="125">
        <f t="shared" si="76"/>
        <v>0</v>
      </c>
      <c r="K143" s="125">
        <f t="shared" si="76"/>
        <v>0</v>
      </c>
      <c r="L143" s="125">
        <f t="shared" si="76"/>
        <v>0</v>
      </c>
      <c r="M143" s="125">
        <f t="shared" si="76"/>
        <v>0</v>
      </c>
      <c r="N143" s="125">
        <f t="shared" si="76"/>
        <v>37750.04</v>
      </c>
      <c r="O143" s="125">
        <f>O144+O147</f>
        <v>52547.607</v>
      </c>
      <c r="P143" s="125">
        <f>P144+P147</f>
        <v>52547.607</v>
      </c>
      <c r="Q143" s="125">
        <f>Q144+Q147</f>
        <v>0</v>
      </c>
      <c r="R143" s="166">
        <f aca="true" t="shared" si="77" ref="R143:X143">R144+R147</f>
        <v>0</v>
      </c>
      <c r="S143" s="166">
        <f t="shared" si="77"/>
        <v>0</v>
      </c>
      <c r="T143" s="166">
        <f t="shared" si="77"/>
        <v>0</v>
      </c>
      <c r="U143" s="166">
        <f t="shared" si="77"/>
        <v>37750.04</v>
      </c>
      <c r="V143" s="166">
        <f t="shared" si="77"/>
        <v>98624.207</v>
      </c>
      <c r="W143" s="166">
        <f t="shared" si="77"/>
        <v>98624.207</v>
      </c>
      <c r="X143" s="166">
        <f t="shared" si="77"/>
        <v>0</v>
      </c>
      <c r="Y143" s="125">
        <f aca="true" t="shared" si="78" ref="Y143:AE143">Y144+Y147</f>
        <v>0</v>
      </c>
      <c r="Z143" s="125">
        <f t="shared" si="78"/>
        <v>0</v>
      </c>
      <c r="AA143" s="125">
        <f t="shared" si="78"/>
        <v>0</v>
      </c>
      <c r="AB143" s="125">
        <f t="shared" si="78"/>
        <v>37750.04</v>
      </c>
      <c r="AC143" s="125">
        <f t="shared" si="78"/>
        <v>98624.207</v>
      </c>
      <c r="AD143" s="125">
        <f t="shared" si="78"/>
        <v>98624.207</v>
      </c>
      <c r="AE143" s="125">
        <f t="shared" si="78"/>
        <v>0</v>
      </c>
      <c r="AF143" s="128"/>
    </row>
    <row r="144" spans="1:32" ht="33">
      <c r="A144" s="128" t="s">
        <v>77</v>
      </c>
      <c r="B144" s="129" t="s">
        <v>83</v>
      </c>
      <c r="C144" s="128"/>
      <c r="D144" s="129"/>
      <c r="E144" s="125"/>
      <c r="F144" s="126"/>
      <c r="G144" s="125"/>
      <c r="H144" s="125">
        <f>H145+H146</f>
        <v>0</v>
      </c>
      <c r="I144" s="125">
        <f>I145+I146</f>
        <v>0</v>
      </c>
      <c r="J144" s="125"/>
      <c r="K144" s="126"/>
      <c r="L144" s="125"/>
      <c r="M144" s="126"/>
      <c r="N144" s="125"/>
      <c r="O144" s="125">
        <f>O145+O146</f>
        <v>0</v>
      </c>
      <c r="P144" s="125">
        <f>P145+P146</f>
        <v>0</v>
      </c>
      <c r="Q144" s="125"/>
      <c r="R144" s="167"/>
      <c r="S144" s="166"/>
      <c r="T144" s="167"/>
      <c r="U144" s="166"/>
      <c r="V144" s="166">
        <f>V145+V146</f>
        <v>0</v>
      </c>
      <c r="W144" s="166">
        <f>W145+W146</f>
        <v>0</v>
      </c>
      <c r="X144" s="166"/>
      <c r="Y144" s="126"/>
      <c r="Z144" s="125"/>
      <c r="AA144" s="126"/>
      <c r="AB144" s="125"/>
      <c r="AC144" s="125">
        <f>AC145+AC146</f>
        <v>0</v>
      </c>
      <c r="AD144" s="125">
        <f>AD145+AD146</f>
        <v>0</v>
      </c>
      <c r="AE144" s="125"/>
      <c r="AF144" s="128"/>
    </row>
    <row r="145" spans="1:32" ht="33.75" customHeight="1">
      <c r="A145" s="128" t="s">
        <v>92</v>
      </c>
      <c r="B145" s="129" t="s">
        <v>84</v>
      </c>
      <c r="C145" s="128"/>
      <c r="D145" s="129"/>
      <c r="E145" s="125"/>
      <c r="F145" s="126"/>
      <c r="G145" s="125"/>
      <c r="H145" s="125">
        <v>0</v>
      </c>
      <c r="I145" s="125">
        <v>0</v>
      </c>
      <c r="J145" s="125"/>
      <c r="K145" s="126"/>
      <c r="L145" s="125"/>
      <c r="M145" s="126"/>
      <c r="N145" s="125"/>
      <c r="O145" s="125">
        <v>0</v>
      </c>
      <c r="P145" s="125">
        <v>0</v>
      </c>
      <c r="Q145" s="125"/>
      <c r="R145" s="167"/>
      <c r="S145" s="166"/>
      <c r="T145" s="167"/>
      <c r="U145" s="166"/>
      <c r="V145" s="166">
        <v>0</v>
      </c>
      <c r="W145" s="166">
        <v>0</v>
      </c>
      <c r="X145" s="166"/>
      <c r="Y145" s="126"/>
      <c r="Z145" s="125"/>
      <c r="AA145" s="126"/>
      <c r="AB145" s="125"/>
      <c r="AC145" s="125">
        <v>0</v>
      </c>
      <c r="AD145" s="125">
        <v>0</v>
      </c>
      <c r="AE145" s="125"/>
      <c r="AF145" s="128"/>
    </row>
    <row r="146" spans="1:32" ht="33.75" customHeight="1">
      <c r="A146" s="128" t="s">
        <v>93</v>
      </c>
      <c r="B146" s="129" t="s">
        <v>85</v>
      </c>
      <c r="C146" s="128"/>
      <c r="D146" s="129"/>
      <c r="E146" s="125"/>
      <c r="F146" s="126"/>
      <c r="G146" s="125"/>
      <c r="H146" s="125">
        <v>0</v>
      </c>
      <c r="I146" s="125">
        <v>0</v>
      </c>
      <c r="J146" s="125"/>
      <c r="K146" s="126"/>
      <c r="L146" s="125"/>
      <c r="M146" s="126"/>
      <c r="N146" s="125"/>
      <c r="O146" s="125">
        <v>0</v>
      </c>
      <c r="P146" s="125">
        <v>0</v>
      </c>
      <c r="Q146" s="125"/>
      <c r="R146" s="167"/>
      <c r="S146" s="166"/>
      <c r="T146" s="167"/>
      <c r="U146" s="166"/>
      <c r="V146" s="166">
        <v>0</v>
      </c>
      <c r="W146" s="166">
        <v>0</v>
      </c>
      <c r="X146" s="166"/>
      <c r="Y146" s="126"/>
      <c r="Z146" s="125"/>
      <c r="AA146" s="126"/>
      <c r="AB146" s="125"/>
      <c r="AC146" s="125">
        <v>0</v>
      </c>
      <c r="AD146" s="125">
        <v>0</v>
      </c>
      <c r="AE146" s="125"/>
      <c r="AF146" s="128"/>
    </row>
    <row r="147" spans="1:32" ht="33.75" customHeight="1">
      <c r="A147" s="128" t="s">
        <v>79</v>
      </c>
      <c r="B147" s="129" t="s">
        <v>86</v>
      </c>
      <c r="C147" s="128"/>
      <c r="D147" s="129"/>
      <c r="E147" s="125"/>
      <c r="F147" s="126"/>
      <c r="G147" s="125">
        <f aca="true" t="shared" si="79" ref="G147:X147">G148+G184</f>
        <v>0</v>
      </c>
      <c r="H147" s="125">
        <f t="shared" si="79"/>
        <v>11700</v>
      </c>
      <c r="I147" s="125">
        <f t="shared" si="79"/>
        <v>11700</v>
      </c>
      <c r="J147" s="142">
        <f t="shared" si="79"/>
        <v>0</v>
      </c>
      <c r="K147" s="142">
        <f t="shared" si="79"/>
        <v>0</v>
      </c>
      <c r="L147" s="142">
        <f t="shared" si="79"/>
        <v>0</v>
      </c>
      <c r="M147" s="142">
        <f t="shared" si="79"/>
        <v>0</v>
      </c>
      <c r="N147" s="142">
        <f t="shared" si="79"/>
        <v>37750.04</v>
      </c>
      <c r="O147" s="125">
        <f t="shared" si="79"/>
        <v>52547.607</v>
      </c>
      <c r="P147" s="125">
        <f t="shared" si="79"/>
        <v>52547.607</v>
      </c>
      <c r="Q147" s="125">
        <f t="shared" si="79"/>
        <v>0</v>
      </c>
      <c r="R147" s="174">
        <f t="shared" si="79"/>
        <v>0</v>
      </c>
      <c r="S147" s="174">
        <f t="shared" si="79"/>
        <v>0</v>
      </c>
      <c r="T147" s="174">
        <f t="shared" si="79"/>
        <v>0</v>
      </c>
      <c r="U147" s="174">
        <f t="shared" si="79"/>
        <v>37750.04</v>
      </c>
      <c r="V147" s="166">
        <f t="shared" si="79"/>
        <v>98624.207</v>
      </c>
      <c r="W147" s="166">
        <f t="shared" si="79"/>
        <v>98624.207</v>
      </c>
      <c r="X147" s="166">
        <f t="shared" si="79"/>
        <v>0</v>
      </c>
      <c r="Y147" s="142">
        <f aca="true" t="shared" si="80" ref="Y147:AE147">Y148+Y184</f>
        <v>0</v>
      </c>
      <c r="Z147" s="142">
        <f t="shared" si="80"/>
        <v>0</v>
      </c>
      <c r="AA147" s="142">
        <f t="shared" si="80"/>
        <v>0</v>
      </c>
      <c r="AB147" s="142">
        <f t="shared" si="80"/>
        <v>37750.04</v>
      </c>
      <c r="AC147" s="125">
        <f t="shared" si="80"/>
        <v>98624.207</v>
      </c>
      <c r="AD147" s="125">
        <f t="shared" si="80"/>
        <v>98624.207</v>
      </c>
      <c r="AE147" s="125">
        <f t="shared" si="80"/>
        <v>0</v>
      </c>
      <c r="AF147" s="128"/>
    </row>
    <row r="148" spans="1:32" ht="33.75" customHeight="1">
      <c r="A148" s="128" t="s">
        <v>89</v>
      </c>
      <c r="B148" s="129" t="s">
        <v>84</v>
      </c>
      <c r="C148" s="128"/>
      <c r="D148" s="129"/>
      <c r="E148" s="125"/>
      <c r="F148" s="126"/>
      <c r="G148" s="125"/>
      <c r="H148" s="125">
        <f aca="true" t="shared" si="81" ref="H148:N148">H149+H164</f>
        <v>11700</v>
      </c>
      <c r="I148" s="125">
        <f t="shared" si="81"/>
        <v>11700</v>
      </c>
      <c r="J148" s="142">
        <f t="shared" si="81"/>
        <v>0</v>
      </c>
      <c r="K148" s="142">
        <f t="shared" si="81"/>
        <v>0</v>
      </c>
      <c r="L148" s="142">
        <f t="shared" si="81"/>
        <v>0</v>
      </c>
      <c r="M148" s="142">
        <f t="shared" si="81"/>
        <v>0</v>
      </c>
      <c r="N148" s="142">
        <f t="shared" si="81"/>
        <v>37750.04</v>
      </c>
      <c r="O148" s="125">
        <f aca="true" t="shared" si="82" ref="O148:U148">O149+O164</f>
        <v>52547.607</v>
      </c>
      <c r="P148" s="125">
        <f t="shared" si="82"/>
        <v>52547.607</v>
      </c>
      <c r="Q148" s="125">
        <f t="shared" si="82"/>
        <v>0</v>
      </c>
      <c r="R148" s="174">
        <f t="shared" si="82"/>
        <v>0</v>
      </c>
      <c r="S148" s="174">
        <f t="shared" si="82"/>
        <v>0</v>
      </c>
      <c r="T148" s="174">
        <f t="shared" si="82"/>
        <v>0</v>
      </c>
      <c r="U148" s="174">
        <f t="shared" si="82"/>
        <v>37750.04</v>
      </c>
      <c r="V148" s="166">
        <f>V149+V164+V181</f>
        <v>98624.207</v>
      </c>
      <c r="W148" s="166">
        <f>W149+W164+W181</f>
        <v>98624.207</v>
      </c>
      <c r="X148" s="166">
        <f>X149+X164</f>
        <v>0</v>
      </c>
      <c r="Y148" s="142">
        <f>Y149+Y164</f>
        <v>0</v>
      </c>
      <c r="Z148" s="142">
        <f>Z149+Z164</f>
        <v>0</v>
      </c>
      <c r="AA148" s="142">
        <f>AA149+AA164</f>
        <v>0</v>
      </c>
      <c r="AB148" s="142">
        <f>AB149+AB164</f>
        <v>37750.04</v>
      </c>
      <c r="AC148" s="125">
        <f>AC149+AC164+AC181</f>
        <v>98624.207</v>
      </c>
      <c r="AD148" s="125">
        <f>AD149+AD164+AD181</f>
        <v>98624.207</v>
      </c>
      <c r="AE148" s="125">
        <f>AE149+AE164</f>
        <v>0</v>
      </c>
      <c r="AF148" s="128"/>
    </row>
    <row r="149" spans="1:32" ht="48.75" customHeight="1">
      <c r="A149" s="196" t="s">
        <v>301</v>
      </c>
      <c r="B149" s="197"/>
      <c r="C149" s="128"/>
      <c r="D149" s="129"/>
      <c r="E149" s="125"/>
      <c r="F149" s="126"/>
      <c r="G149" s="125"/>
      <c r="H149" s="125">
        <f>H150+H153+H159</f>
        <v>10332</v>
      </c>
      <c r="I149" s="125">
        <f aca="true" t="shared" si="83" ref="I149:N149">I150+I153+I159</f>
        <v>10332</v>
      </c>
      <c r="J149" s="142">
        <f t="shared" si="83"/>
        <v>0</v>
      </c>
      <c r="K149" s="142">
        <f t="shared" si="83"/>
        <v>0</v>
      </c>
      <c r="L149" s="142">
        <f t="shared" si="83"/>
        <v>0</v>
      </c>
      <c r="M149" s="142">
        <f t="shared" si="83"/>
        <v>0</v>
      </c>
      <c r="N149" s="142">
        <f t="shared" si="83"/>
        <v>0</v>
      </c>
      <c r="O149" s="125">
        <f>O150+O153+O159</f>
        <v>6684.206999999999</v>
      </c>
      <c r="P149" s="125">
        <f>P150+P153+P159</f>
        <v>6684.206999999999</v>
      </c>
      <c r="Q149" s="125">
        <f>Q150+Q153+Q159</f>
        <v>0</v>
      </c>
      <c r="R149" s="174">
        <f aca="true" t="shared" si="84" ref="R149:X149">R150+R153+R159</f>
        <v>0</v>
      </c>
      <c r="S149" s="174">
        <f t="shared" si="84"/>
        <v>0</v>
      </c>
      <c r="T149" s="174">
        <f t="shared" si="84"/>
        <v>0</v>
      </c>
      <c r="U149" s="174">
        <f t="shared" si="84"/>
        <v>0</v>
      </c>
      <c r="V149" s="166">
        <f t="shared" si="84"/>
        <v>6684.206999999999</v>
      </c>
      <c r="W149" s="166">
        <f t="shared" si="84"/>
        <v>6684.206999999999</v>
      </c>
      <c r="X149" s="166">
        <f t="shared" si="84"/>
        <v>0</v>
      </c>
      <c r="Y149" s="142">
        <f aca="true" t="shared" si="85" ref="Y149:AE149">Y150+Y153+Y159</f>
        <v>0</v>
      </c>
      <c r="Z149" s="142">
        <f t="shared" si="85"/>
        <v>0</v>
      </c>
      <c r="AA149" s="142">
        <f t="shared" si="85"/>
        <v>0</v>
      </c>
      <c r="AB149" s="142">
        <f t="shared" si="85"/>
        <v>0</v>
      </c>
      <c r="AC149" s="125">
        <f t="shared" si="85"/>
        <v>6684.206999999999</v>
      </c>
      <c r="AD149" s="125">
        <f t="shared" si="85"/>
        <v>6684.206999999999</v>
      </c>
      <c r="AE149" s="125">
        <f t="shared" si="85"/>
        <v>0</v>
      </c>
      <c r="AF149" s="128"/>
    </row>
    <row r="150" spans="1:32" ht="31.5" customHeight="1">
      <c r="A150" s="128" t="s">
        <v>23</v>
      </c>
      <c r="B150" s="165" t="s">
        <v>25</v>
      </c>
      <c r="C150" s="129" t="s">
        <v>25</v>
      </c>
      <c r="D150" s="129" t="s">
        <v>25</v>
      </c>
      <c r="E150" s="125" t="s">
        <v>33</v>
      </c>
      <c r="F150" s="126"/>
      <c r="G150" s="125">
        <v>7747</v>
      </c>
      <c r="H150" s="125">
        <f>I150</f>
        <v>6972</v>
      </c>
      <c r="I150" s="125">
        <v>6972</v>
      </c>
      <c r="J150" s="125"/>
      <c r="K150" s="126"/>
      <c r="L150" s="125"/>
      <c r="M150" s="126"/>
      <c r="N150" s="125"/>
      <c r="O150" s="125">
        <f>O151+O152</f>
        <v>3537.5919999999996</v>
      </c>
      <c r="P150" s="125">
        <f>P151+P152</f>
        <v>3537.5919999999996</v>
      </c>
      <c r="Q150" s="125">
        <f>Q151+Q152</f>
        <v>0</v>
      </c>
      <c r="R150" s="167"/>
      <c r="S150" s="166"/>
      <c r="T150" s="167"/>
      <c r="U150" s="166"/>
      <c r="V150" s="166">
        <f>V151+V152</f>
        <v>3537.5919999999996</v>
      </c>
      <c r="W150" s="166">
        <f>W151+W152</f>
        <v>3537.5919999999996</v>
      </c>
      <c r="X150" s="166">
        <f>X151+X152</f>
        <v>0</v>
      </c>
      <c r="Y150" s="126"/>
      <c r="Z150" s="125"/>
      <c r="AA150" s="126"/>
      <c r="AB150" s="125"/>
      <c r="AC150" s="125">
        <f>AC151+AC152</f>
        <v>3537.5919999999996</v>
      </c>
      <c r="AD150" s="125">
        <f>AD151+AD152</f>
        <v>3537.5919999999996</v>
      </c>
      <c r="AE150" s="125">
        <f>AE151+AE152</f>
        <v>0</v>
      </c>
      <c r="AF150" s="128"/>
    </row>
    <row r="151" spans="1:36" s="120" customFormat="1" ht="48.75" customHeight="1">
      <c r="A151" s="133" t="s">
        <v>292</v>
      </c>
      <c r="B151" s="118" t="s">
        <v>293</v>
      </c>
      <c r="C151" s="119" t="s">
        <v>25</v>
      </c>
      <c r="D151" s="119" t="s">
        <v>25</v>
      </c>
      <c r="E151" s="116"/>
      <c r="F151" s="115"/>
      <c r="G151" s="116"/>
      <c r="H151" s="116"/>
      <c r="I151" s="116"/>
      <c r="J151" s="116"/>
      <c r="K151" s="119"/>
      <c r="L151" s="116"/>
      <c r="M151" s="115"/>
      <c r="N151" s="116"/>
      <c r="O151" s="116">
        <f>P151</f>
        <v>3473.892</v>
      </c>
      <c r="P151" s="116">
        <f>2292+1181.892</f>
        <v>3473.892</v>
      </c>
      <c r="Q151" s="116"/>
      <c r="R151" s="171"/>
      <c r="S151" s="170"/>
      <c r="T151" s="169"/>
      <c r="U151" s="170"/>
      <c r="V151" s="170">
        <f>W151</f>
        <v>3473.892</v>
      </c>
      <c r="W151" s="170">
        <f>2292+1181.892</f>
        <v>3473.892</v>
      </c>
      <c r="X151" s="170"/>
      <c r="Y151" s="119"/>
      <c r="Z151" s="116"/>
      <c r="AA151" s="115"/>
      <c r="AB151" s="116"/>
      <c r="AC151" s="116">
        <f>AD151</f>
        <v>3473.892</v>
      </c>
      <c r="AD151" s="116">
        <f>2292+1181.892</f>
        <v>3473.892</v>
      </c>
      <c r="AE151" s="116"/>
      <c r="AF151" s="117"/>
      <c r="AJ151" s="121"/>
    </row>
    <row r="152" spans="1:36" s="120" customFormat="1" ht="48.75" customHeight="1">
      <c r="A152" s="133" t="s">
        <v>292</v>
      </c>
      <c r="B152" s="118" t="s">
        <v>302</v>
      </c>
      <c r="C152" s="119" t="s">
        <v>25</v>
      </c>
      <c r="D152" s="119" t="s">
        <v>25</v>
      </c>
      <c r="E152" s="119" t="s">
        <v>37</v>
      </c>
      <c r="F152" s="115"/>
      <c r="G152" s="116"/>
      <c r="H152" s="116">
        <f>I152</f>
        <v>0</v>
      </c>
      <c r="I152" s="116"/>
      <c r="J152" s="116"/>
      <c r="K152" s="115"/>
      <c r="L152" s="116"/>
      <c r="M152" s="115" t="s">
        <v>252</v>
      </c>
      <c r="N152" s="116">
        <v>37750.04</v>
      </c>
      <c r="O152" s="116">
        <f>P152</f>
        <v>63.7</v>
      </c>
      <c r="P152" s="116">
        <v>63.7</v>
      </c>
      <c r="Q152" s="116"/>
      <c r="R152" s="169"/>
      <c r="S152" s="170"/>
      <c r="T152" s="169" t="s">
        <v>252</v>
      </c>
      <c r="U152" s="170">
        <v>37750.04</v>
      </c>
      <c r="V152" s="170">
        <f>W152</f>
        <v>63.7</v>
      </c>
      <c r="W152" s="170">
        <v>63.7</v>
      </c>
      <c r="X152" s="170"/>
      <c r="Y152" s="115"/>
      <c r="Z152" s="116"/>
      <c r="AA152" s="115" t="s">
        <v>252</v>
      </c>
      <c r="AB152" s="116">
        <v>37750.04</v>
      </c>
      <c r="AC152" s="116">
        <f>AD152</f>
        <v>63.7</v>
      </c>
      <c r="AD152" s="116">
        <v>63.7</v>
      </c>
      <c r="AE152" s="116"/>
      <c r="AF152" s="119" t="s">
        <v>303</v>
      </c>
      <c r="AJ152" s="121"/>
    </row>
    <row r="153" spans="1:32" ht="46.5" customHeight="1">
      <c r="A153" s="128" t="s">
        <v>23</v>
      </c>
      <c r="B153" s="165" t="s">
        <v>43</v>
      </c>
      <c r="C153" s="129" t="s">
        <v>43</v>
      </c>
      <c r="D153" s="165" t="s">
        <v>43</v>
      </c>
      <c r="E153" s="125" t="s">
        <v>33</v>
      </c>
      <c r="F153" s="126"/>
      <c r="G153" s="125">
        <v>2328</v>
      </c>
      <c r="H153" s="125">
        <f>I153</f>
        <v>2095</v>
      </c>
      <c r="I153" s="125">
        <v>2095</v>
      </c>
      <c r="J153" s="125"/>
      <c r="K153" s="126"/>
      <c r="L153" s="125"/>
      <c r="M153" s="126"/>
      <c r="N153" s="125"/>
      <c r="O153" s="125">
        <f>SUM(O154:O158)</f>
        <v>2320.08</v>
      </c>
      <c r="P153" s="125">
        <f>SUM(P154:P158)</f>
        <v>2320.08</v>
      </c>
      <c r="Q153" s="125"/>
      <c r="R153" s="167"/>
      <c r="S153" s="166"/>
      <c r="T153" s="167"/>
      <c r="U153" s="166"/>
      <c r="V153" s="166">
        <f>SUM(V154:V158)</f>
        <v>2320.08</v>
      </c>
      <c r="W153" s="166">
        <f>SUM(W154:W158)</f>
        <v>2320.08</v>
      </c>
      <c r="X153" s="166"/>
      <c r="Y153" s="126"/>
      <c r="Z153" s="125"/>
      <c r="AA153" s="126"/>
      <c r="AB153" s="125"/>
      <c r="AC153" s="125">
        <f>SUM(AC154:AC158)</f>
        <v>2320.08</v>
      </c>
      <c r="AD153" s="125">
        <f>SUM(AD154:AD158)</f>
        <v>2320.08</v>
      </c>
      <c r="AE153" s="125"/>
      <c r="AF153" s="128"/>
    </row>
    <row r="154" spans="1:36" s="120" customFormat="1" ht="48.75" customHeight="1">
      <c r="A154" s="133" t="s">
        <v>292</v>
      </c>
      <c r="B154" s="118" t="s">
        <v>294</v>
      </c>
      <c r="C154" s="119" t="s">
        <v>43</v>
      </c>
      <c r="D154" s="118" t="s">
        <v>43</v>
      </c>
      <c r="E154" s="116"/>
      <c r="F154" s="115"/>
      <c r="G154" s="116"/>
      <c r="H154" s="116"/>
      <c r="I154" s="116"/>
      <c r="J154" s="116"/>
      <c r="K154" s="115"/>
      <c r="L154" s="116"/>
      <c r="M154" s="115"/>
      <c r="N154" s="116"/>
      <c r="O154" s="116">
        <f aca="true" t="shared" si="86" ref="O154:O171">P154</f>
        <v>23.592</v>
      </c>
      <c r="P154" s="116">
        <v>23.592</v>
      </c>
      <c r="Q154" s="116"/>
      <c r="R154" s="169"/>
      <c r="S154" s="170"/>
      <c r="T154" s="169"/>
      <c r="U154" s="170"/>
      <c r="V154" s="170">
        <f>W154</f>
        <v>23.592</v>
      </c>
      <c r="W154" s="170">
        <v>23.592</v>
      </c>
      <c r="X154" s="170"/>
      <c r="Y154" s="115"/>
      <c r="Z154" s="116"/>
      <c r="AA154" s="115"/>
      <c r="AB154" s="116"/>
      <c r="AC154" s="116">
        <f>AD154</f>
        <v>23.592</v>
      </c>
      <c r="AD154" s="116">
        <v>23.592</v>
      </c>
      <c r="AE154" s="116"/>
      <c r="AF154" s="117"/>
      <c r="AJ154" s="121"/>
    </row>
    <row r="155" spans="1:36" s="120" customFormat="1" ht="48.75" customHeight="1">
      <c r="A155" s="133" t="s">
        <v>292</v>
      </c>
      <c r="B155" s="118" t="s">
        <v>295</v>
      </c>
      <c r="C155" s="119" t="s">
        <v>43</v>
      </c>
      <c r="D155" s="118" t="s">
        <v>43</v>
      </c>
      <c r="E155" s="116"/>
      <c r="F155" s="115"/>
      <c r="G155" s="116"/>
      <c r="H155" s="116"/>
      <c r="I155" s="116"/>
      <c r="J155" s="116"/>
      <c r="K155" s="115"/>
      <c r="L155" s="116"/>
      <c r="M155" s="115"/>
      <c r="N155" s="116"/>
      <c r="O155" s="116">
        <f t="shared" si="86"/>
        <v>1189.81</v>
      </c>
      <c r="P155" s="116">
        <v>1189.81</v>
      </c>
      <c r="Q155" s="116"/>
      <c r="R155" s="169"/>
      <c r="S155" s="170"/>
      <c r="T155" s="169"/>
      <c r="U155" s="170"/>
      <c r="V155" s="170">
        <f>W155</f>
        <v>1189.81</v>
      </c>
      <c r="W155" s="170">
        <v>1189.81</v>
      </c>
      <c r="X155" s="170"/>
      <c r="Y155" s="115"/>
      <c r="Z155" s="116"/>
      <c r="AA155" s="115"/>
      <c r="AB155" s="116"/>
      <c r="AC155" s="116">
        <f>AD155</f>
        <v>1189.81</v>
      </c>
      <c r="AD155" s="116">
        <v>1189.81</v>
      </c>
      <c r="AE155" s="116"/>
      <c r="AF155" s="117"/>
      <c r="AJ155" s="121"/>
    </row>
    <row r="156" spans="1:36" s="120" customFormat="1" ht="48.75" customHeight="1">
      <c r="A156" s="133" t="s">
        <v>292</v>
      </c>
      <c r="B156" s="118" t="s">
        <v>296</v>
      </c>
      <c r="C156" s="119" t="s">
        <v>43</v>
      </c>
      <c r="D156" s="118" t="s">
        <v>43</v>
      </c>
      <c r="E156" s="116"/>
      <c r="F156" s="115"/>
      <c r="G156" s="116"/>
      <c r="H156" s="116"/>
      <c r="I156" s="116"/>
      <c r="J156" s="116"/>
      <c r="K156" s="115"/>
      <c r="L156" s="116"/>
      <c r="M156" s="115"/>
      <c r="N156" s="116"/>
      <c r="O156" s="116">
        <f t="shared" si="86"/>
        <v>589.029</v>
      </c>
      <c r="P156" s="116">
        <v>589.029</v>
      </c>
      <c r="Q156" s="116"/>
      <c r="R156" s="169"/>
      <c r="S156" s="170"/>
      <c r="T156" s="169"/>
      <c r="U156" s="170"/>
      <c r="V156" s="170">
        <f>W156</f>
        <v>589.029</v>
      </c>
      <c r="W156" s="170">
        <v>589.029</v>
      </c>
      <c r="X156" s="170"/>
      <c r="Y156" s="115"/>
      <c r="Z156" s="116"/>
      <c r="AA156" s="115"/>
      <c r="AB156" s="116"/>
      <c r="AC156" s="116">
        <f>AD156</f>
        <v>589.029</v>
      </c>
      <c r="AD156" s="116">
        <v>589.029</v>
      </c>
      <c r="AE156" s="116"/>
      <c r="AF156" s="117"/>
      <c r="AJ156" s="121"/>
    </row>
    <row r="157" spans="1:36" s="120" customFormat="1" ht="48.75" customHeight="1">
      <c r="A157" s="133" t="s">
        <v>292</v>
      </c>
      <c r="B157" s="118" t="s">
        <v>297</v>
      </c>
      <c r="C157" s="119" t="s">
        <v>43</v>
      </c>
      <c r="D157" s="118" t="s">
        <v>43</v>
      </c>
      <c r="E157" s="116"/>
      <c r="F157" s="115"/>
      <c r="G157" s="116"/>
      <c r="H157" s="116"/>
      <c r="I157" s="116"/>
      <c r="J157" s="116"/>
      <c r="K157" s="115"/>
      <c r="L157" s="116"/>
      <c r="M157" s="115"/>
      <c r="N157" s="116"/>
      <c r="O157" s="116">
        <f t="shared" si="86"/>
        <v>46</v>
      </c>
      <c r="P157" s="116">
        <v>46</v>
      </c>
      <c r="Q157" s="116"/>
      <c r="R157" s="169"/>
      <c r="S157" s="170"/>
      <c r="T157" s="169"/>
      <c r="U157" s="170"/>
      <c r="V157" s="170">
        <f>W157</f>
        <v>46</v>
      </c>
      <c r="W157" s="170">
        <v>46</v>
      </c>
      <c r="X157" s="170"/>
      <c r="Y157" s="115"/>
      <c r="Z157" s="116"/>
      <c r="AA157" s="115"/>
      <c r="AB157" s="116"/>
      <c r="AC157" s="116">
        <f>AD157</f>
        <v>46</v>
      </c>
      <c r="AD157" s="116">
        <v>46</v>
      </c>
      <c r="AE157" s="116"/>
      <c r="AF157" s="117"/>
      <c r="AJ157" s="121"/>
    </row>
    <row r="158" spans="1:36" s="120" customFormat="1" ht="48.75" customHeight="1">
      <c r="A158" s="133" t="s">
        <v>292</v>
      </c>
      <c r="B158" s="118" t="s">
        <v>302</v>
      </c>
      <c r="C158" s="119" t="s">
        <v>43</v>
      </c>
      <c r="D158" s="118" t="s">
        <v>43</v>
      </c>
      <c r="E158" s="119" t="s">
        <v>37</v>
      </c>
      <c r="F158" s="115"/>
      <c r="G158" s="116"/>
      <c r="H158" s="116">
        <f>I158</f>
        <v>0</v>
      </c>
      <c r="I158" s="116"/>
      <c r="J158" s="116"/>
      <c r="K158" s="115"/>
      <c r="L158" s="116"/>
      <c r="M158" s="115" t="s">
        <v>252</v>
      </c>
      <c r="N158" s="116">
        <v>37750.04</v>
      </c>
      <c r="O158" s="116">
        <f>P158</f>
        <v>471.649</v>
      </c>
      <c r="P158" s="116">
        <v>471.649</v>
      </c>
      <c r="Q158" s="116"/>
      <c r="R158" s="169"/>
      <c r="S158" s="170"/>
      <c r="T158" s="169" t="s">
        <v>252</v>
      </c>
      <c r="U158" s="170">
        <v>37750.04</v>
      </c>
      <c r="V158" s="170">
        <f>W158</f>
        <v>471.649</v>
      </c>
      <c r="W158" s="170">
        <v>471.649</v>
      </c>
      <c r="X158" s="170"/>
      <c r="Y158" s="115"/>
      <c r="Z158" s="116"/>
      <c r="AA158" s="115" t="s">
        <v>252</v>
      </c>
      <c r="AB158" s="116">
        <v>37750.04</v>
      </c>
      <c r="AC158" s="116">
        <f>AD158</f>
        <v>471.649</v>
      </c>
      <c r="AD158" s="116">
        <v>471.649</v>
      </c>
      <c r="AE158" s="116"/>
      <c r="AF158" s="119" t="s">
        <v>303</v>
      </c>
      <c r="AJ158" s="121">
        <f>44300</f>
        <v>44300</v>
      </c>
    </row>
    <row r="159" spans="1:36" ht="39" customHeight="1">
      <c r="A159" s="128" t="s">
        <v>23</v>
      </c>
      <c r="B159" s="165" t="s">
        <v>31</v>
      </c>
      <c r="C159" s="129" t="s">
        <v>31</v>
      </c>
      <c r="D159" s="129" t="s">
        <v>31</v>
      </c>
      <c r="E159" s="125" t="s">
        <v>33</v>
      </c>
      <c r="F159" s="126"/>
      <c r="G159" s="125">
        <f>1405</f>
        <v>1405</v>
      </c>
      <c r="H159" s="125">
        <f>I159</f>
        <v>1265</v>
      </c>
      <c r="I159" s="125">
        <v>1265</v>
      </c>
      <c r="J159" s="125"/>
      <c r="K159" s="126"/>
      <c r="L159" s="125"/>
      <c r="M159" s="126"/>
      <c r="N159" s="125"/>
      <c r="O159" s="125">
        <f>SUM(O160:O163)</f>
        <v>826.535</v>
      </c>
      <c r="P159" s="125">
        <f>SUM(P160:P163)</f>
        <v>826.535</v>
      </c>
      <c r="Q159" s="125"/>
      <c r="R159" s="167"/>
      <c r="S159" s="166"/>
      <c r="T159" s="167"/>
      <c r="U159" s="166"/>
      <c r="V159" s="166">
        <f>SUM(V160:V163)</f>
        <v>826.535</v>
      </c>
      <c r="W159" s="166">
        <f>SUM(W160:W163)</f>
        <v>826.535</v>
      </c>
      <c r="X159" s="166"/>
      <c r="Y159" s="126"/>
      <c r="Z159" s="125"/>
      <c r="AA159" s="126"/>
      <c r="AB159" s="125"/>
      <c r="AC159" s="125">
        <f>SUM(AC160:AC163)</f>
        <v>826.535</v>
      </c>
      <c r="AD159" s="125">
        <f>SUM(AD160:AD163)</f>
        <v>826.535</v>
      </c>
      <c r="AE159" s="125"/>
      <c r="AF159" s="128"/>
      <c r="AJ159" s="123">
        <f>AJ158-AJ162</f>
        <v>37615.793</v>
      </c>
    </row>
    <row r="160" spans="1:36" s="120" customFormat="1" ht="48.75" customHeight="1">
      <c r="A160" s="133" t="s">
        <v>292</v>
      </c>
      <c r="B160" s="118" t="s">
        <v>298</v>
      </c>
      <c r="C160" s="119" t="s">
        <v>31</v>
      </c>
      <c r="D160" s="119" t="s">
        <v>31</v>
      </c>
      <c r="E160" s="116"/>
      <c r="F160" s="115"/>
      <c r="G160" s="116"/>
      <c r="H160" s="116"/>
      <c r="I160" s="116"/>
      <c r="J160" s="116"/>
      <c r="K160" s="115"/>
      <c r="L160" s="116"/>
      <c r="M160" s="115"/>
      <c r="N160" s="116"/>
      <c r="O160" s="116">
        <f t="shared" si="86"/>
        <v>144.29</v>
      </c>
      <c r="P160" s="116">
        <v>144.29</v>
      </c>
      <c r="Q160" s="116"/>
      <c r="R160" s="169"/>
      <c r="S160" s="170"/>
      <c r="T160" s="169"/>
      <c r="U160" s="170"/>
      <c r="V160" s="170">
        <f>W160</f>
        <v>144.29</v>
      </c>
      <c r="W160" s="170">
        <v>144.29</v>
      </c>
      <c r="X160" s="170"/>
      <c r="Y160" s="115"/>
      <c r="Z160" s="116"/>
      <c r="AA160" s="115"/>
      <c r="AB160" s="116"/>
      <c r="AC160" s="116">
        <f>AD160</f>
        <v>144.29</v>
      </c>
      <c r="AD160" s="116">
        <v>144.29</v>
      </c>
      <c r="AE160" s="116"/>
      <c r="AF160" s="117"/>
      <c r="AJ160" s="121">
        <f>AJ159*0.9</f>
        <v>33854.2137</v>
      </c>
    </row>
    <row r="161" spans="1:36" s="120" customFormat="1" ht="48.75" customHeight="1">
      <c r="A161" s="133" t="s">
        <v>292</v>
      </c>
      <c r="B161" s="118" t="s">
        <v>299</v>
      </c>
      <c r="C161" s="119" t="s">
        <v>31</v>
      </c>
      <c r="D161" s="119" t="s">
        <v>31</v>
      </c>
      <c r="E161" s="116"/>
      <c r="F161" s="115"/>
      <c r="G161" s="116"/>
      <c r="H161" s="116"/>
      <c r="I161" s="116"/>
      <c r="J161" s="116"/>
      <c r="K161" s="115"/>
      <c r="L161" s="116"/>
      <c r="M161" s="115"/>
      <c r="N161" s="116"/>
      <c r="O161" s="116">
        <f t="shared" si="86"/>
        <v>178.365</v>
      </c>
      <c r="P161" s="116">
        <v>178.365</v>
      </c>
      <c r="Q161" s="116"/>
      <c r="R161" s="169"/>
      <c r="S161" s="170"/>
      <c r="T161" s="169"/>
      <c r="U161" s="170"/>
      <c r="V161" s="170">
        <f>W161</f>
        <v>178.365</v>
      </c>
      <c r="W161" s="170">
        <v>178.365</v>
      </c>
      <c r="X161" s="170"/>
      <c r="Y161" s="115"/>
      <c r="Z161" s="116"/>
      <c r="AA161" s="115"/>
      <c r="AB161" s="116"/>
      <c r="AC161" s="116">
        <f>AD161</f>
        <v>178.365</v>
      </c>
      <c r="AD161" s="116">
        <v>178.365</v>
      </c>
      <c r="AE161" s="116"/>
      <c r="AF161" s="117"/>
      <c r="AJ161" s="121"/>
    </row>
    <row r="162" spans="1:36" s="120" customFormat="1" ht="48.75" customHeight="1">
      <c r="A162" s="133" t="s">
        <v>292</v>
      </c>
      <c r="B162" s="118" t="s">
        <v>300</v>
      </c>
      <c r="C162" s="119" t="s">
        <v>31</v>
      </c>
      <c r="D162" s="119" t="s">
        <v>31</v>
      </c>
      <c r="E162" s="116"/>
      <c r="F162" s="115"/>
      <c r="G162" s="116"/>
      <c r="H162" s="116"/>
      <c r="I162" s="116"/>
      <c r="J162" s="116"/>
      <c r="K162" s="115"/>
      <c r="L162" s="116"/>
      <c r="M162" s="115"/>
      <c r="N162" s="116"/>
      <c r="O162" s="116">
        <f t="shared" si="86"/>
        <v>475</v>
      </c>
      <c r="P162" s="116">
        <v>475</v>
      </c>
      <c r="Q162" s="116"/>
      <c r="R162" s="169"/>
      <c r="S162" s="170"/>
      <c r="T162" s="169"/>
      <c r="U162" s="170"/>
      <c r="V162" s="170">
        <f>W162</f>
        <v>475</v>
      </c>
      <c r="W162" s="170">
        <v>475</v>
      </c>
      <c r="X162" s="170"/>
      <c r="Y162" s="115"/>
      <c r="Z162" s="116"/>
      <c r="AA162" s="115"/>
      <c r="AB162" s="116"/>
      <c r="AC162" s="116">
        <f>AD162</f>
        <v>475</v>
      </c>
      <c r="AD162" s="116">
        <v>475</v>
      </c>
      <c r="AE162" s="116"/>
      <c r="AF162" s="117"/>
      <c r="AJ162" s="121">
        <f>P149</f>
        <v>6684.206999999999</v>
      </c>
    </row>
    <row r="163" spans="1:36" s="120" customFormat="1" ht="48.75" customHeight="1">
      <c r="A163" s="133" t="s">
        <v>292</v>
      </c>
      <c r="B163" s="118" t="s">
        <v>302</v>
      </c>
      <c r="C163" s="119" t="s">
        <v>31</v>
      </c>
      <c r="D163" s="119" t="s">
        <v>31</v>
      </c>
      <c r="E163" s="119" t="s">
        <v>37</v>
      </c>
      <c r="F163" s="115"/>
      <c r="G163" s="116"/>
      <c r="H163" s="116"/>
      <c r="I163" s="116"/>
      <c r="J163" s="116"/>
      <c r="K163" s="115"/>
      <c r="L163" s="116"/>
      <c r="M163" s="115" t="s">
        <v>252</v>
      </c>
      <c r="N163" s="116">
        <v>37750.04</v>
      </c>
      <c r="O163" s="116">
        <f>P163</f>
        <v>28.88</v>
      </c>
      <c r="P163" s="116">
        <v>28.88</v>
      </c>
      <c r="Q163" s="116"/>
      <c r="R163" s="169"/>
      <c r="S163" s="170"/>
      <c r="T163" s="169" t="s">
        <v>252</v>
      </c>
      <c r="U163" s="170">
        <v>37750.04</v>
      </c>
      <c r="V163" s="170">
        <f>W163</f>
        <v>28.88</v>
      </c>
      <c r="W163" s="170">
        <v>28.88</v>
      </c>
      <c r="X163" s="170"/>
      <c r="Y163" s="115"/>
      <c r="Z163" s="116"/>
      <c r="AA163" s="115" t="s">
        <v>252</v>
      </c>
      <c r="AB163" s="116">
        <v>37750.04</v>
      </c>
      <c r="AC163" s="116">
        <f>AD163</f>
        <v>28.88</v>
      </c>
      <c r="AD163" s="116">
        <v>28.88</v>
      </c>
      <c r="AE163" s="116"/>
      <c r="AF163" s="119" t="s">
        <v>303</v>
      </c>
      <c r="AJ163" s="121">
        <f>44300-AJ162</f>
        <v>37615.793</v>
      </c>
    </row>
    <row r="164" spans="1:36" ht="38.25" customHeight="1">
      <c r="A164" s="196" t="s">
        <v>304</v>
      </c>
      <c r="B164" s="197"/>
      <c r="C164" s="129"/>
      <c r="D164" s="129"/>
      <c r="E164" s="129"/>
      <c r="F164" s="126"/>
      <c r="G164" s="142"/>
      <c r="H164" s="142">
        <f>SUM(H165:H177)</f>
        <v>1368</v>
      </c>
      <c r="I164" s="142">
        <f>SUM(I165:I177)</f>
        <v>1368</v>
      </c>
      <c r="J164" s="142">
        <f>SUM(J165:J177)</f>
        <v>0</v>
      </c>
      <c r="K164" s="142">
        <f>SUM(K165:K177)</f>
        <v>0</v>
      </c>
      <c r="L164" s="142"/>
      <c r="M164" s="142">
        <f aca="true" t="shared" si="87" ref="M164:R164">SUM(M165:M177)</f>
        <v>0</v>
      </c>
      <c r="N164" s="142">
        <f t="shared" si="87"/>
        <v>37750.04</v>
      </c>
      <c r="O164" s="125">
        <f t="shared" si="87"/>
        <v>45863.4</v>
      </c>
      <c r="P164" s="125">
        <f t="shared" si="87"/>
        <v>45863.4</v>
      </c>
      <c r="Q164" s="125">
        <f t="shared" si="87"/>
        <v>0</v>
      </c>
      <c r="R164" s="174">
        <f t="shared" si="87"/>
        <v>0</v>
      </c>
      <c r="S164" s="174"/>
      <c r="T164" s="174">
        <f aca="true" t="shared" si="88" ref="T164:Y164">SUM(T165:T177)</f>
        <v>0</v>
      </c>
      <c r="U164" s="174">
        <f t="shared" si="88"/>
        <v>37750.04</v>
      </c>
      <c r="V164" s="166">
        <f t="shared" si="88"/>
        <v>33854</v>
      </c>
      <c r="W164" s="166">
        <f t="shared" si="88"/>
        <v>33854</v>
      </c>
      <c r="X164" s="166">
        <f t="shared" si="88"/>
        <v>0</v>
      </c>
      <c r="Y164" s="142">
        <f t="shared" si="88"/>
        <v>0</v>
      </c>
      <c r="Z164" s="142"/>
      <c r="AA164" s="142">
        <f>SUM(AA165:AA177)</f>
        <v>0</v>
      </c>
      <c r="AB164" s="142">
        <f>SUM(AB165:AB177)</f>
        <v>37750.04</v>
      </c>
      <c r="AC164" s="125">
        <f>SUM(AC165:AC180)</f>
        <v>33854</v>
      </c>
      <c r="AD164" s="125">
        <f>SUM(AD165:AD180)</f>
        <v>33854</v>
      </c>
      <c r="AE164" s="125">
        <f>SUM(AE165:AE177)</f>
        <v>0</v>
      </c>
      <c r="AF164" s="129"/>
      <c r="AJ164" s="123">
        <f>AJ163*0.9</f>
        <v>33854.2137</v>
      </c>
    </row>
    <row r="165" spans="1:36" s="120" customFormat="1" ht="54.75" customHeight="1">
      <c r="A165" s="117" t="s">
        <v>23</v>
      </c>
      <c r="B165" s="118" t="s">
        <v>29</v>
      </c>
      <c r="C165" s="119" t="s">
        <v>21</v>
      </c>
      <c r="D165" s="119" t="s">
        <v>31</v>
      </c>
      <c r="E165" s="119">
        <v>2016</v>
      </c>
      <c r="F165" s="119" t="s">
        <v>96</v>
      </c>
      <c r="G165" s="116">
        <v>887</v>
      </c>
      <c r="H165" s="116">
        <f aca="true" t="shared" si="89" ref="H165:H177">I165</f>
        <v>300</v>
      </c>
      <c r="I165" s="116">
        <v>300</v>
      </c>
      <c r="J165" s="116"/>
      <c r="K165" s="119" t="s">
        <v>96</v>
      </c>
      <c r="L165" s="116">
        <v>887</v>
      </c>
      <c r="M165" s="115"/>
      <c r="N165" s="116"/>
      <c r="O165" s="116">
        <f>P165</f>
        <v>300</v>
      </c>
      <c r="P165" s="116">
        <v>300</v>
      </c>
      <c r="Q165" s="116"/>
      <c r="R165" s="171" t="s">
        <v>96</v>
      </c>
      <c r="S165" s="170">
        <v>887</v>
      </c>
      <c r="T165" s="169"/>
      <c r="U165" s="170"/>
      <c r="V165" s="170">
        <f aca="true" t="shared" si="90" ref="V165:V177">W165</f>
        <v>300</v>
      </c>
      <c r="W165" s="170">
        <v>300</v>
      </c>
      <c r="X165" s="170"/>
      <c r="Y165" s="119" t="s">
        <v>96</v>
      </c>
      <c r="Z165" s="116">
        <v>887</v>
      </c>
      <c r="AA165" s="115"/>
      <c r="AB165" s="116"/>
      <c r="AC165" s="116">
        <f aca="true" t="shared" si="91" ref="AC165:AC172">AD165</f>
        <v>300</v>
      </c>
      <c r="AD165" s="116">
        <v>300</v>
      </c>
      <c r="AE165" s="116"/>
      <c r="AF165" s="117"/>
      <c r="AJ165" s="121">
        <f>AJ163-AJ164</f>
        <v>3761.5792999999976</v>
      </c>
    </row>
    <row r="166" spans="1:36" s="120" customFormat="1" ht="54.75" customHeight="1">
      <c r="A166" s="117" t="s">
        <v>23</v>
      </c>
      <c r="B166" s="118" t="s">
        <v>47</v>
      </c>
      <c r="C166" s="119" t="s">
        <v>21</v>
      </c>
      <c r="D166" s="119" t="s">
        <v>43</v>
      </c>
      <c r="E166" s="119">
        <v>2016</v>
      </c>
      <c r="F166" s="115"/>
      <c r="G166" s="116"/>
      <c r="H166" s="116">
        <f t="shared" si="89"/>
        <v>201</v>
      </c>
      <c r="I166" s="116">
        <v>201</v>
      </c>
      <c r="J166" s="116"/>
      <c r="K166" s="115"/>
      <c r="L166" s="116"/>
      <c r="M166" s="115"/>
      <c r="N166" s="116"/>
      <c r="O166" s="116">
        <f>P166</f>
        <v>201</v>
      </c>
      <c r="P166" s="116">
        <v>201</v>
      </c>
      <c r="Q166" s="116"/>
      <c r="R166" s="169"/>
      <c r="S166" s="170"/>
      <c r="T166" s="169"/>
      <c r="U166" s="170"/>
      <c r="V166" s="170">
        <f t="shared" si="90"/>
        <v>201</v>
      </c>
      <c r="W166" s="170">
        <v>201</v>
      </c>
      <c r="X166" s="170"/>
      <c r="Y166" s="115"/>
      <c r="Z166" s="116"/>
      <c r="AA166" s="115"/>
      <c r="AB166" s="116"/>
      <c r="AC166" s="116">
        <f t="shared" si="91"/>
        <v>201</v>
      </c>
      <c r="AD166" s="116">
        <v>201</v>
      </c>
      <c r="AE166" s="116"/>
      <c r="AF166" s="117"/>
      <c r="AJ166" s="121">
        <f>AJ165-O163-O158-O152</f>
        <v>3197.350299999998</v>
      </c>
    </row>
    <row r="167" spans="1:36" s="120" customFormat="1" ht="54.75" customHeight="1">
      <c r="A167" s="117" t="s">
        <v>23</v>
      </c>
      <c r="B167" s="118" t="s">
        <v>48</v>
      </c>
      <c r="C167" s="119" t="s">
        <v>21</v>
      </c>
      <c r="D167" s="119" t="s">
        <v>31</v>
      </c>
      <c r="E167" s="119">
        <v>2016</v>
      </c>
      <c r="F167" s="115"/>
      <c r="G167" s="116"/>
      <c r="H167" s="116">
        <f t="shared" si="89"/>
        <v>260</v>
      </c>
      <c r="I167" s="116">
        <v>260</v>
      </c>
      <c r="J167" s="116"/>
      <c r="K167" s="115"/>
      <c r="L167" s="116"/>
      <c r="M167" s="115"/>
      <c r="N167" s="116"/>
      <c r="O167" s="116">
        <f>P167</f>
        <v>260</v>
      </c>
      <c r="P167" s="116">
        <v>260</v>
      </c>
      <c r="Q167" s="116"/>
      <c r="R167" s="169"/>
      <c r="S167" s="170"/>
      <c r="T167" s="169"/>
      <c r="U167" s="170"/>
      <c r="V167" s="170">
        <f t="shared" si="90"/>
        <v>260</v>
      </c>
      <c r="W167" s="170">
        <v>260</v>
      </c>
      <c r="X167" s="170"/>
      <c r="Y167" s="115"/>
      <c r="Z167" s="116"/>
      <c r="AA167" s="115"/>
      <c r="AB167" s="116"/>
      <c r="AC167" s="116">
        <f t="shared" si="91"/>
        <v>260</v>
      </c>
      <c r="AD167" s="116">
        <v>260</v>
      </c>
      <c r="AE167" s="116"/>
      <c r="AF167" s="117"/>
      <c r="AJ167" s="121"/>
    </row>
    <row r="168" spans="1:36" s="120" customFormat="1" ht="54.75" customHeight="1">
      <c r="A168" s="117" t="s">
        <v>23</v>
      </c>
      <c r="B168" s="118" t="s">
        <v>49</v>
      </c>
      <c r="C168" s="119" t="s">
        <v>21</v>
      </c>
      <c r="D168" s="119" t="s">
        <v>25</v>
      </c>
      <c r="E168" s="119">
        <v>2016</v>
      </c>
      <c r="F168" s="115"/>
      <c r="G168" s="116"/>
      <c r="H168" s="116">
        <f t="shared" si="89"/>
        <v>139</v>
      </c>
      <c r="I168" s="116">
        <v>139</v>
      </c>
      <c r="J168" s="116"/>
      <c r="K168" s="115"/>
      <c r="L168" s="116"/>
      <c r="M168" s="115"/>
      <c r="N168" s="116"/>
      <c r="O168" s="116">
        <f>P168</f>
        <v>139</v>
      </c>
      <c r="P168" s="116">
        <v>139</v>
      </c>
      <c r="Q168" s="116"/>
      <c r="R168" s="169"/>
      <c r="S168" s="170"/>
      <c r="T168" s="169"/>
      <c r="U168" s="170"/>
      <c r="V168" s="170">
        <f t="shared" si="90"/>
        <v>139</v>
      </c>
      <c r="W168" s="170">
        <v>139</v>
      </c>
      <c r="X168" s="170"/>
      <c r="Y168" s="115"/>
      <c r="Z168" s="116"/>
      <c r="AA168" s="115"/>
      <c r="AB168" s="116"/>
      <c r="AC168" s="116">
        <f t="shared" si="91"/>
        <v>139</v>
      </c>
      <c r="AD168" s="116">
        <v>139</v>
      </c>
      <c r="AE168" s="116"/>
      <c r="AF168" s="117"/>
      <c r="AJ168" s="121"/>
    </row>
    <row r="169" spans="1:36" s="120" customFormat="1" ht="54.75" customHeight="1">
      <c r="A169" s="117" t="s">
        <v>23</v>
      </c>
      <c r="B169" s="118" t="s">
        <v>50</v>
      </c>
      <c r="C169" s="119" t="s">
        <v>51</v>
      </c>
      <c r="D169" s="119"/>
      <c r="E169" s="116" t="s">
        <v>33</v>
      </c>
      <c r="F169" s="115"/>
      <c r="G169" s="116">
        <v>520</v>
      </c>
      <c r="H169" s="116">
        <f t="shared" si="89"/>
        <v>468</v>
      </c>
      <c r="I169" s="116">
        <v>468</v>
      </c>
      <c r="J169" s="116"/>
      <c r="K169" s="115"/>
      <c r="L169" s="116">
        <v>468</v>
      </c>
      <c r="M169" s="116"/>
      <c r="N169" s="116"/>
      <c r="O169" s="116">
        <f t="shared" si="86"/>
        <v>468</v>
      </c>
      <c r="P169" s="116">
        <v>468</v>
      </c>
      <c r="Q169" s="116"/>
      <c r="R169" s="169"/>
      <c r="S169" s="170">
        <v>468</v>
      </c>
      <c r="T169" s="170"/>
      <c r="U169" s="170"/>
      <c r="V169" s="170">
        <f t="shared" si="90"/>
        <v>468</v>
      </c>
      <c r="W169" s="170">
        <v>468</v>
      </c>
      <c r="X169" s="170"/>
      <c r="Y169" s="115"/>
      <c r="Z169" s="116">
        <v>468</v>
      </c>
      <c r="AA169" s="116"/>
      <c r="AB169" s="116"/>
      <c r="AC169" s="116">
        <f t="shared" si="91"/>
        <v>468</v>
      </c>
      <c r="AD169" s="116">
        <v>468</v>
      </c>
      <c r="AE169" s="116"/>
      <c r="AF169" s="117"/>
      <c r="AJ169" s="121"/>
    </row>
    <row r="170" spans="1:36" s="120" customFormat="1" ht="66" customHeight="1">
      <c r="A170" s="117" t="s">
        <v>23</v>
      </c>
      <c r="B170" s="118" t="s">
        <v>256</v>
      </c>
      <c r="C170" s="119" t="s">
        <v>51</v>
      </c>
      <c r="D170" s="119"/>
      <c r="E170" s="116" t="s">
        <v>38</v>
      </c>
      <c r="F170" s="115"/>
      <c r="G170" s="116"/>
      <c r="H170" s="116">
        <f t="shared" si="89"/>
        <v>0</v>
      </c>
      <c r="I170" s="116"/>
      <c r="J170" s="116"/>
      <c r="K170" s="115"/>
      <c r="L170" s="116">
        <v>300</v>
      </c>
      <c r="M170" s="116"/>
      <c r="N170" s="116"/>
      <c r="O170" s="116">
        <f t="shared" si="86"/>
        <v>300</v>
      </c>
      <c r="P170" s="116">
        <v>300</v>
      </c>
      <c r="Q170" s="116"/>
      <c r="R170" s="169"/>
      <c r="S170" s="170">
        <v>300</v>
      </c>
      <c r="T170" s="170"/>
      <c r="U170" s="170"/>
      <c r="V170" s="170">
        <f t="shared" si="90"/>
        <v>300</v>
      </c>
      <c r="W170" s="170">
        <v>300</v>
      </c>
      <c r="X170" s="170"/>
      <c r="Y170" s="115"/>
      <c r="Z170" s="116">
        <v>300</v>
      </c>
      <c r="AA170" s="116"/>
      <c r="AB170" s="116"/>
      <c r="AC170" s="116">
        <f t="shared" si="91"/>
        <v>300</v>
      </c>
      <c r="AD170" s="116">
        <v>300</v>
      </c>
      <c r="AE170" s="116"/>
      <c r="AF170" s="117"/>
      <c r="AJ170" s="121"/>
    </row>
    <row r="171" spans="1:36" s="120" customFormat="1" ht="54.75" customHeight="1">
      <c r="A171" s="117" t="s">
        <v>23</v>
      </c>
      <c r="B171" s="118" t="s">
        <v>257</v>
      </c>
      <c r="C171" s="119" t="s">
        <v>51</v>
      </c>
      <c r="D171" s="119"/>
      <c r="E171" s="116" t="s">
        <v>38</v>
      </c>
      <c r="F171" s="115"/>
      <c r="G171" s="116"/>
      <c r="H171" s="116">
        <f t="shared" si="89"/>
        <v>0</v>
      </c>
      <c r="I171" s="116"/>
      <c r="J171" s="116"/>
      <c r="K171" s="115"/>
      <c r="L171" s="116">
        <v>436</v>
      </c>
      <c r="M171" s="116"/>
      <c r="N171" s="116"/>
      <c r="O171" s="116">
        <f t="shared" si="86"/>
        <v>436</v>
      </c>
      <c r="P171" s="116">
        <v>436</v>
      </c>
      <c r="Q171" s="116"/>
      <c r="R171" s="169"/>
      <c r="S171" s="170">
        <v>436</v>
      </c>
      <c r="T171" s="170"/>
      <c r="U171" s="170"/>
      <c r="V171" s="170">
        <f t="shared" si="90"/>
        <v>436</v>
      </c>
      <c r="W171" s="170">
        <v>436</v>
      </c>
      <c r="X171" s="170"/>
      <c r="Y171" s="115"/>
      <c r="Z171" s="116">
        <v>436</v>
      </c>
      <c r="AA171" s="116"/>
      <c r="AB171" s="116"/>
      <c r="AC171" s="116">
        <f t="shared" si="91"/>
        <v>436</v>
      </c>
      <c r="AD171" s="116">
        <v>436</v>
      </c>
      <c r="AE171" s="116"/>
      <c r="AF171" s="117"/>
      <c r="AJ171" s="121"/>
    </row>
    <row r="172" spans="1:36" s="120" customFormat="1" ht="98.25" customHeight="1">
      <c r="A172" s="117" t="s">
        <v>23</v>
      </c>
      <c r="B172" s="118" t="s">
        <v>364</v>
      </c>
      <c r="C172" s="119" t="s">
        <v>21</v>
      </c>
      <c r="D172" s="119" t="s">
        <v>22</v>
      </c>
      <c r="E172" s="119" t="s">
        <v>37</v>
      </c>
      <c r="F172" s="115"/>
      <c r="G172" s="116"/>
      <c r="H172" s="116">
        <f t="shared" si="89"/>
        <v>0</v>
      </c>
      <c r="I172" s="116"/>
      <c r="J172" s="116"/>
      <c r="K172" s="115" t="s">
        <v>228</v>
      </c>
      <c r="L172" s="116">
        <v>37750.04</v>
      </c>
      <c r="M172" s="116" t="s">
        <v>252</v>
      </c>
      <c r="N172" s="116">
        <v>37750.04</v>
      </c>
      <c r="O172" s="116">
        <f>P172</f>
        <v>21259.4</v>
      </c>
      <c r="P172" s="116">
        <f>9250.4+12009</f>
        <v>21259.4</v>
      </c>
      <c r="Q172" s="116"/>
      <c r="R172" s="169" t="s">
        <v>228</v>
      </c>
      <c r="S172" s="170">
        <v>37750.04</v>
      </c>
      <c r="T172" s="170" t="s">
        <v>252</v>
      </c>
      <c r="U172" s="170">
        <v>37750.04</v>
      </c>
      <c r="V172" s="170">
        <f t="shared" si="90"/>
        <v>17100</v>
      </c>
      <c r="W172" s="170">
        <f>9250.4+12009-7687.4+5678-1150-1000</f>
        <v>17100</v>
      </c>
      <c r="X172" s="170"/>
      <c r="Y172" s="115" t="s">
        <v>228</v>
      </c>
      <c r="Z172" s="116">
        <v>37750.04</v>
      </c>
      <c r="AA172" s="116" t="s">
        <v>252</v>
      </c>
      <c r="AB172" s="116">
        <v>37750.04</v>
      </c>
      <c r="AC172" s="116">
        <f t="shared" si="91"/>
        <v>15600</v>
      </c>
      <c r="AD172" s="116">
        <f>9250.4+12009-7687.4+5678-1150-1000-1500</f>
        <v>15600</v>
      </c>
      <c r="AE172" s="116"/>
      <c r="AF172" s="119" t="s">
        <v>362</v>
      </c>
      <c r="AH172" s="130">
        <f>N172-15000-1491-11159-300-436-4430+0.4</f>
        <v>4934.4400000000005</v>
      </c>
      <c r="AJ172" s="121"/>
    </row>
    <row r="173" spans="1:36" s="120" customFormat="1" ht="49.5">
      <c r="A173" s="117" t="s">
        <v>23</v>
      </c>
      <c r="B173" s="118" t="s">
        <v>337</v>
      </c>
      <c r="C173" s="119" t="s">
        <v>21</v>
      </c>
      <c r="D173" s="119" t="s">
        <v>22</v>
      </c>
      <c r="E173" s="119" t="s">
        <v>38</v>
      </c>
      <c r="F173" s="115"/>
      <c r="G173" s="116"/>
      <c r="H173" s="116"/>
      <c r="I173" s="116"/>
      <c r="J173" s="116"/>
      <c r="K173" s="115"/>
      <c r="L173" s="116"/>
      <c r="M173" s="116"/>
      <c r="N173" s="116"/>
      <c r="O173" s="116"/>
      <c r="P173" s="116"/>
      <c r="Q173" s="116"/>
      <c r="R173" s="169"/>
      <c r="S173" s="170">
        <v>1150.555</v>
      </c>
      <c r="T173" s="170"/>
      <c r="U173" s="170"/>
      <c r="V173" s="170">
        <v>1150</v>
      </c>
      <c r="W173" s="170">
        <v>1150</v>
      </c>
      <c r="X173" s="170"/>
      <c r="Y173" s="115" t="s">
        <v>381</v>
      </c>
      <c r="Z173" s="116">
        <v>1150.555</v>
      </c>
      <c r="AA173" s="116"/>
      <c r="AB173" s="116"/>
      <c r="AC173" s="116">
        <v>1150</v>
      </c>
      <c r="AD173" s="116">
        <v>1150</v>
      </c>
      <c r="AE173" s="116"/>
      <c r="AF173" s="119" t="s">
        <v>263</v>
      </c>
      <c r="AH173" s="130"/>
      <c r="AJ173" s="121"/>
    </row>
    <row r="174" spans="1:36" s="120" customFormat="1" ht="49.5">
      <c r="A174" s="133" t="s">
        <v>23</v>
      </c>
      <c r="B174" s="118" t="s">
        <v>347</v>
      </c>
      <c r="C174" s="119" t="s">
        <v>21</v>
      </c>
      <c r="D174" s="119" t="s">
        <v>22</v>
      </c>
      <c r="E174" s="119" t="s">
        <v>38</v>
      </c>
      <c r="F174" s="115"/>
      <c r="G174" s="116"/>
      <c r="H174" s="116"/>
      <c r="I174" s="116"/>
      <c r="J174" s="116"/>
      <c r="K174" s="115"/>
      <c r="L174" s="116"/>
      <c r="M174" s="116"/>
      <c r="N174" s="116"/>
      <c r="O174" s="116"/>
      <c r="P174" s="116"/>
      <c r="Q174" s="116"/>
      <c r="R174" s="169"/>
      <c r="S174" s="170">
        <v>1000</v>
      </c>
      <c r="T174" s="170"/>
      <c r="U174" s="170"/>
      <c r="V174" s="170">
        <v>1000</v>
      </c>
      <c r="W174" s="170">
        <v>1000</v>
      </c>
      <c r="X174" s="170"/>
      <c r="Y174" s="115" t="s">
        <v>386</v>
      </c>
      <c r="Z174" s="116">
        <v>1000</v>
      </c>
      <c r="AA174" s="116"/>
      <c r="AB174" s="116"/>
      <c r="AC174" s="116">
        <v>1000</v>
      </c>
      <c r="AD174" s="116">
        <v>1000</v>
      </c>
      <c r="AE174" s="116"/>
      <c r="AF174" s="119" t="s">
        <v>263</v>
      </c>
      <c r="AH174" s="130"/>
      <c r="AJ174" s="121"/>
    </row>
    <row r="175" spans="1:36" s="120" customFormat="1" ht="82.5" customHeight="1">
      <c r="A175" s="117" t="s">
        <v>23</v>
      </c>
      <c r="B175" s="118" t="s">
        <v>226</v>
      </c>
      <c r="C175" s="119" t="s">
        <v>21</v>
      </c>
      <c r="D175" s="119" t="s">
        <v>22</v>
      </c>
      <c r="E175" s="119" t="s">
        <v>38</v>
      </c>
      <c r="F175" s="115"/>
      <c r="G175" s="116"/>
      <c r="H175" s="116">
        <f t="shared" si="89"/>
        <v>0</v>
      </c>
      <c r="I175" s="116"/>
      <c r="J175" s="116"/>
      <c r="K175" s="115" t="s">
        <v>255</v>
      </c>
      <c r="L175" s="116">
        <v>10000</v>
      </c>
      <c r="M175" s="116"/>
      <c r="N175" s="116"/>
      <c r="O175" s="116">
        <f>P175</f>
        <v>10000</v>
      </c>
      <c r="P175" s="116">
        <v>10000</v>
      </c>
      <c r="Q175" s="116"/>
      <c r="R175" s="169" t="s">
        <v>255</v>
      </c>
      <c r="S175" s="170">
        <v>10000</v>
      </c>
      <c r="T175" s="170"/>
      <c r="U175" s="170"/>
      <c r="V175" s="170">
        <f t="shared" si="90"/>
        <v>5000</v>
      </c>
      <c r="W175" s="170">
        <v>5000</v>
      </c>
      <c r="X175" s="170"/>
      <c r="Y175" s="115" t="s">
        <v>387</v>
      </c>
      <c r="Z175" s="116">
        <v>10000</v>
      </c>
      <c r="AA175" s="116"/>
      <c r="AB175" s="116"/>
      <c r="AC175" s="116">
        <f aca="true" t="shared" si="92" ref="AC175:AC180">AD175</f>
        <v>5000</v>
      </c>
      <c r="AD175" s="116">
        <v>5000</v>
      </c>
      <c r="AE175" s="116"/>
      <c r="AF175" s="119" t="s">
        <v>333</v>
      </c>
      <c r="AH175" s="130"/>
      <c r="AJ175" s="121"/>
    </row>
    <row r="176" spans="1:36" s="120" customFormat="1" ht="47.25" customHeight="1">
      <c r="A176" s="117" t="s">
        <v>23</v>
      </c>
      <c r="B176" s="118" t="s">
        <v>235</v>
      </c>
      <c r="C176" s="119" t="s">
        <v>21</v>
      </c>
      <c r="D176" s="119" t="s">
        <v>22</v>
      </c>
      <c r="E176" s="119" t="s">
        <v>38</v>
      </c>
      <c r="F176" s="115"/>
      <c r="G176" s="116"/>
      <c r="H176" s="116">
        <f t="shared" si="89"/>
        <v>0</v>
      </c>
      <c r="I176" s="116"/>
      <c r="J176" s="116"/>
      <c r="K176" s="115" t="s">
        <v>255</v>
      </c>
      <c r="L176" s="116">
        <v>2500</v>
      </c>
      <c r="M176" s="116"/>
      <c r="N176" s="116"/>
      <c r="O176" s="116">
        <f>P176</f>
        <v>2500</v>
      </c>
      <c r="P176" s="116">
        <v>2500</v>
      </c>
      <c r="Q176" s="116"/>
      <c r="R176" s="169" t="s">
        <v>255</v>
      </c>
      <c r="S176" s="170">
        <v>2500</v>
      </c>
      <c r="T176" s="170"/>
      <c r="U176" s="170"/>
      <c r="V176" s="170">
        <f t="shared" si="90"/>
        <v>2500</v>
      </c>
      <c r="W176" s="170">
        <v>2500</v>
      </c>
      <c r="X176" s="170"/>
      <c r="Y176" s="115" t="s">
        <v>388</v>
      </c>
      <c r="Z176" s="116">
        <v>2500</v>
      </c>
      <c r="AA176" s="116"/>
      <c r="AB176" s="116"/>
      <c r="AC176" s="116">
        <f t="shared" si="92"/>
        <v>2500</v>
      </c>
      <c r="AD176" s="116">
        <v>2500</v>
      </c>
      <c r="AE176" s="116"/>
      <c r="AF176" s="140"/>
      <c r="AH176" s="130"/>
      <c r="AJ176" s="121"/>
    </row>
    <row r="177" spans="1:36" s="120" customFormat="1" ht="92.25" customHeight="1">
      <c r="A177" s="117" t="s">
        <v>23</v>
      </c>
      <c r="B177" s="118" t="s">
        <v>254</v>
      </c>
      <c r="C177" s="119" t="s">
        <v>21</v>
      </c>
      <c r="D177" s="119" t="s">
        <v>22</v>
      </c>
      <c r="E177" s="119" t="s">
        <v>38</v>
      </c>
      <c r="F177" s="115"/>
      <c r="G177" s="116"/>
      <c r="H177" s="116">
        <f t="shared" si="89"/>
        <v>0</v>
      </c>
      <c r="I177" s="116"/>
      <c r="J177" s="116"/>
      <c r="K177" s="115" t="s">
        <v>255</v>
      </c>
      <c r="L177" s="116">
        <v>10000</v>
      </c>
      <c r="M177" s="116"/>
      <c r="N177" s="116"/>
      <c r="O177" s="116">
        <f>P177</f>
        <v>10000</v>
      </c>
      <c r="P177" s="116">
        <v>10000</v>
      </c>
      <c r="Q177" s="116"/>
      <c r="R177" s="169" t="s">
        <v>255</v>
      </c>
      <c r="S177" s="170">
        <v>9440.095</v>
      </c>
      <c r="T177" s="170"/>
      <c r="U177" s="170"/>
      <c r="V177" s="170">
        <f t="shared" si="90"/>
        <v>5000</v>
      </c>
      <c r="W177" s="170">
        <v>5000</v>
      </c>
      <c r="X177" s="170"/>
      <c r="Y177" s="115" t="s">
        <v>255</v>
      </c>
      <c r="Z177" s="116">
        <v>9440.095</v>
      </c>
      <c r="AA177" s="116"/>
      <c r="AB177" s="116"/>
      <c r="AC177" s="116">
        <f t="shared" si="92"/>
        <v>5000</v>
      </c>
      <c r="AD177" s="116">
        <v>5000</v>
      </c>
      <c r="AE177" s="116"/>
      <c r="AF177" s="119" t="s">
        <v>334</v>
      </c>
      <c r="AH177" s="130"/>
      <c r="AJ177" s="121"/>
    </row>
    <row r="178" spans="1:36" s="120" customFormat="1" ht="92.25" customHeight="1">
      <c r="A178" s="117" t="s">
        <v>23</v>
      </c>
      <c r="B178" s="118" t="s">
        <v>358</v>
      </c>
      <c r="C178" s="119" t="s">
        <v>21</v>
      </c>
      <c r="D178" s="119" t="s">
        <v>22</v>
      </c>
      <c r="E178" s="119" t="s">
        <v>140</v>
      </c>
      <c r="F178" s="115"/>
      <c r="G178" s="116"/>
      <c r="H178" s="116"/>
      <c r="I178" s="116"/>
      <c r="J178" s="116"/>
      <c r="K178" s="115"/>
      <c r="L178" s="116"/>
      <c r="M178" s="116"/>
      <c r="N178" s="116"/>
      <c r="O178" s="116"/>
      <c r="P178" s="116"/>
      <c r="Q178" s="116"/>
      <c r="R178" s="169"/>
      <c r="S178" s="170"/>
      <c r="T178" s="170"/>
      <c r="U178" s="170"/>
      <c r="V178" s="170"/>
      <c r="W178" s="170"/>
      <c r="X178" s="170"/>
      <c r="Y178" s="115" t="s">
        <v>255</v>
      </c>
      <c r="Z178" s="116">
        <v>12000</v>
      </c>
      <c r="AA178" s="116"/>
      <c r="AB178" s="116"/>
      <c r="AC178" s="116">
        <f t="shared" si="92"/>
        <v>500</v>
      </c>
      <c r="AD178" s="116">
        <v>500</v>
      </c>
      <c r="AE178" s="116"/>
      <c r="AF178" s="221" t="s">
        <v>361</v>
      </c>
      <c r="AH178" s="130"/>
      <c r="AJ178" s="121"/>
    </row>
    <row r="179" spans="1:36" s="120" customFormat="1" ht="92.25" customHeight="1">
      <c r="A179" s="117" t="s">
        <v>23</v>
      </c>
      <c r="B179" s="118" t="s">
        <v>359</v>
      </c>
      <c r="C179" s="119" t="s">
        <v>21</v>
      </c>
      <c r="D179" s="119" t="s">
        <v>22</v>
      </c>
      <c r="E179" s="119" t="s">
        <v>140</v>
      </c>
      <c r="F179" s="115"/>
      <c r="G179" s="116"/>
      <c r="H179" s="116"/>
      <c r="I179" s="116"/>
      <c r="J179" s="116"/>
      <c r="K179" s="115"/>
      <c r="L179" s="116"/>
      <c r="M179" s="116"/>
      <c r="N179" s="116"/>
      <c r="O179" s="116"/>
      <c r="P179" s="116"/>
      <c r="Q179" s="116"/>
      <c r="R179" s="169"/>
      <c r="S179" s="170"/>
      <c r="T179" s="170"/>
      <c r="U179" s="170"/>
      <c r="V179" s="170"/>
      <c r="W179" s="170"/>
      <c r="X179" s="170"/>
      <c r="Y179" s="115" t="s">
        <v>255</v>
      </c>
      <c r="Z179" s="116">
        <v>42321</v>
      </c>
      <c r="AA179" s="116"/>
      <c r="AB179" s="116"/>
      <c r="AC179" s="116">
        <f t="shared" si="92"/>
        <v>500</v>
      </c>
      <c r="AD179" s="116">
        <v>500</v>
      </c>
      <c r="AE179" s="116"/>
      <c r="AF179" s="222"/>
      <c r="AH179" s="130"/>
      <c r="AJ179" s="121"/>
    </row>
    <row r="180" spans="1:36" s="120" customFormat="1" ht="92.25" customHeight="1">
      <c r="A180" s="117" t="s">
        <v>23</v>
      </c>
      <c r="B180" s="118" t="s">
        <v>360</v>
      </c>
      <c r="C180" s="119" t="s">
        <v>21</v>
      </c>
      <c r="D180" s="119" t="s">
        <v>22</v>
      </c>
      <c r="E180" s="119" t="s">
        <v>140</v>
      </c>
      <c r="F180" s="115"/>
      <c r="G180" s="116"/>
      <c r="H180" s="116"/>
      <c r="I180" s="116"/>
      <c r="J180" s="116"/>
      <c r="K180" s="115"/>
      <c r="L180" s="116"/>
      <c r="M180" s="116"/>
      <c r="N180" s="116"/>
      <c r="O180" s="116"/>
      <c r="P180" s="116"/>
      <c r="Q180" s="116"/>
      <c r="R180" s="169"/>
      <c r="S180" s="170"/>
      <c r="T180" s="170"/>
      <c r="U180" s="170"/>
      <c r="V180" s="170"/>
      <c r="W180" s="170"/>
      <c r="X180" s="170"/>
      <c r="Y180" s="115" t="s">
        <v>255</v>
      </c>
      <c r="Z180" s="116">
        <v>14100</v>
      </c>
      <c r="AA180" s="116"/>
      <c r="AB180" s="116"/>
      <c r="AC180" s="116">
        <f t="shared" si="92"/>
        <v>500</v>
      </c>
      <c r="AD180" s="116">
        <v>500</v>
      </c>
      <c r="AE180" s="116"/>
      <c r="AF180" s="223"/>
      <c r="AH180" s="130"/>
      <c r="AJ180" s="121"/>
    </row>
    <row r="181" spans="1:36" s="147" customFormat="1" ht="38.25" customHeight="1">
      <c r="A181" s="196" t="s">
        <v>332</v>
      </c>
      <c r="B181" s="197"/>
      <c r="C181" s="143"/>
      <c r="D181" s="143"/>
      <c r="E181" s="143"/>
      <c r="F181" s="144"/>
      <c r="G181" s="145"/>
      <c r="H181" s="145"/>
      <c r="I181" s="145"/>
      <c r="J181" s="145"/>
      <c r="K181" s="144"/>
      <c r="L181" s="145"/>
      <c r="M181" s="145"/>
      <c r="N181" s="145"/>
      <c r="O181" s="145"/>
      <c r="P181" s="145"/>
      <c r="Q181" s="145"/>
      <c r="R181" s="175"/>
      <c r="S181" s="176"/>
      <c r="T181" s="176"/>
      <c r="U181" s="176"/>
      <c r="V181" s="166">
        <f>V182+V183</f>
        <v>58086</v>
      </c>
      <c r="W181" s="166">
        <f>W182+W183</f>
        <v>58086</v>
      </c>
      <c r="X181" s="166">
        <f>X182+X183</f>
        <v>0</v>
      </c>
      <c r="Y181" s="144"/>
      <c r="Z181" s="145"/>
      <c r="AA181" s="145"/>
      <c r="AB181" s="145"/>
      <c r="AC181" s="125">
        <f>AC182+AC183</f>
        <v>58086</v>
      </c>
      <c r="AD181" s="125">
        <f>AD182+AD183</f>
        <v>58086</v>
      </c>
      <c r="AE181" s="125">
        <f>AE182+AE183</f>
        <v>0</v>
      </c>
      <c r="AF181" s="146"/>
      <c r="AH181" s="148"/>
      <c r="AJ181" s="149"/>
    </row>
    <row r="182" spans="1:36" s="120" customFormat="1" ht="81" customHeight="1">
      <c r="A182" s="133" t="s">
        <v>292</v>
      </c>
      <c r="B182" s="118" t="s">
        <v>117</v>
      </c>
      <c r="C182" s="119" t="s">
        <v>21</v>
      </c>
      <c r="D182" s="119" t="s">
        <v>22</v>
      </c>
      <c r="E182" s="115" t="s">
        <v>118</v>
      </c>
      <c r="F182" s="115"/>
      <c r="G182" s="116"/>
      <c r="H182" s="116"/>
      <c r="I182" s="116"/>
      <c r="J182" s="116"/>
      <c r="K182" s="115"/>
      <c r="L182" s="116"/>
      <c r="M182" s="116"/>
      <c r="N182" s="116"/>
      <c r="O182" s="116"/>
      <c r="P182" s="116"/>
      <c r="Q182" s="116"/>
      <c r="R182" s="169" t="s">
        <v>74</v>
      </c>
      <c r="S182" s="170">
        <v>114353</v>
      </c>
      <c r="T182" s="170"/>
      <c r="U182" s="170"/>
      <c r="V182" s="170">
        <f>W182</f>
        <v>38086</v>
      </c>
      <c r="W182" s="170">
        <f>114353-76267</f>
        <v>38086</v>
      </c>
      <c r="X182" s="170"/>
      <c r="Y182" s="115" t="s">
        <v>74</v>
      </c>
      <c r="Z182" s="116">
        <v>114353</v>
      </c>
      <c r="AA182" s="116"/>
      <c r="AB182" s="116"/>
      <c r="AC182" s="116">
        <f>AD182</f>
        <v>38086</v>
      </c>
      <c r="AD182" s="116">
        <f>114353-76267</f>
        <v>38086</v>
      </c>
      <c r="AE182" s="116"/>
      <c r="AF182" s="135" t="s">
        <v>331</v>
      </c>
      <c r="AH182" s="130"/>
      <c r="AJ182" s="121"/>
    </row>
    <row r="183" spans="1:36" s="120" customFormat="1" ht="82.5" customHeight="1">
      <c r="A183" s="133" t="s">
        <v>292</v>
      </c>
      <c r="B183" s="118" t="s">
        <v>365</v>
      </c>
      <c r="C183" s="119" t="s">
        <v>21</v>
      </c>
      <c r="D183" s="119" t="s">
        <v>22</v>
      </c>
      <c r="E183" s="115" t="s">
        <v>37</v>
      </c>
      <c r="F183" s="115"/>
      <c r="G183" s="116"/>
      <c r="H183" s="116"/>
      <c r="I183" s="116"/>
      <c r="J183" s="116"/>
      <c r="K183" s="115"/>
      <c r="L183" s="116"/>
      <c r="M183" s="116"/>
      <c r="N183" s="116"/>
      <c r="O183" s="116"/>
      <c r="P183" s="116"/>
      <c r="Q183" s="116"/>
      <c r="R183" s="169" t="s">
        <v>198</v>
      </c>
      <c r="S183" s="170">
        <v>79187.671</v>
      </c>
      <c r="T183" s="170"/>
      <c r="U183" s="170"/>
      <c r="V183" s="170">
        <f>W183</f>
        <v>20000</v>
      </c>
      <c r="W183" s="170">
        <v>20000</v>
      </c>
      <c r="X183" s="170"/>
      <c r="Y183" s="115" t="s">
        <v>198</v>
      </c>
      <c r="Z183" s="116">
        <v>79187.671</v>
      </c>
      <c r="AA183" s="116"/>
      <c r="AB183" s="116"/>
      <c r="AC183" s="116">
        <f>AD183</f>
        <v>20000</v>
      </c>
      <c r="AD183" s="116">
        <v>20000</v>
      </c>
      <c r="AE183" s="116"/>
      <c r="AF183" s="135" t="s">
        <v>331</v>
      </c>
      <c r="AH183" s="130"/>
      <c r="AJ183" s="121"/>
    </row>
    <row r="184" spans="1:32" ht="35.25" customHeight="1">
      <c r="A184" s="128" t="s">
        <v>97</v>
      </c>
      <c r="B184" s="129" t="s">
        <v>101</v>
      </c>
      <c r="C184" s="128"/>
      <c r="D184" s="129"/>
      <c r="E184" s="125"/>
      <c r="F184" s="126"/>
      <c r="G184" s="125"/>
      <c r="H184" s="125"/>
      <c r="I184" s="125"/>
      <c r="J184" s="125"/>
      <c r="K184" s="126"/>
      <c r="L184" s="125"/>
      <c r="M184" s="126"/>
      <c r="N184" s="125"/>
      <c r="O184" s="125"/>
      <c r="P184" s="125"/>
      <c r="Q184" s="125"/>
      <c r="R184" s="167"/>
      <c r="S184" s="166"/>
      <c r="T184" s="167"/>
      <c r="U184" s="166"/>
      <c r="V184" s="166"/>
      <c r="W184" s="166"/>
      <c r="X184" s="166"/>
      <c r="Y184" s="126"/>
      <c r="Z184" s="125"/>
      <c r="AA184" s="126"/>
      <c r="AB184" s="125"/>
      <c r="AC184" s="125"/>
      <c r="AD184" s="125"/>
      <c r="AE184" s="125"/>
      <c r="AF184" s="128"/>
    </row>
    <row r="185" spans="1:32" ht="35.25" customHeight="1">
      <c r="A185" s="128" t="s">
        <v>108</v>
      </c>
      <c r="B185" s="129" t="s">
        <v>109</v>
      </c>
      <c r="C185" s="128"/>
      <c r="D185" s="129"/>
      <c r="E185" s="125"/>
      <c r="F185" s="126"/>
      <c r="G185" s="125"/>
      <c r="H185" s="125">
        <f>H186+H187</f>
        <v>4900</v>
      </c>
      <c r="I185" s="125">
        <f>I186+I187</f>
        <v>4900</v>
      </c>
      <c r="J185" s="125">
        <f>J186+J187</f>
        <v>0</v>
      </c>
      <c r="K185" s="126"/>
      <c r="L185" s="125"/>
      <c r="M185" s="126"/>
      <c r="N185" s="125"/>
      <c r="O185" s="125">
        <f>O186+O187</f>
        <v>4900</v>
      </c>
      <c r="P185" s="125">
        <f>P186+P187</f>
        <v>4900</v>
      </c>
      <c r="Q185" s="125">
        <f>Q186+Q187</f>
        <v>0</v>
      </c>
      <c r="R185" s="167"/>
      <c r="S185" s="166"/>
      <c r="T185" s="167"/>
      <c r="U185" s="166"/>
      <c r="V185" s="166">
        <f>V186+V187</f>
        <v>4994.477</v>
      </c>
      <c r="W185" s="166">
        <f>W186+W187</f>
        <v>4900</v>
      </c>
      <c r="X185" s="166">
        <f>X186+X187</f>
        <v>0</v>
      </c>
      <c r="Y185" s="126"/>
      <c r="Z185" s="125"/>
      <c r="AA185" s="126"/>
      <c r="AB185" s="125"/>
      <c r="AC185" s="125">
        <f>AC186+AC187</f>
        <v>4900.000000000001</v>
      </c>
      <c r="AD185" s="125">
        <f>AD186+AD187</f>
        <v>4900.000000000001</v>
      </c>
      <c r="AE185" s="125">
        <f>AE186+AE187</f>
        <v>0</v>
      </c>
      <c r="AF185" s="128"/>
    </row>
    <row r="186" spans="1:32" ht="35.25" customHeight="1">
      <c r="A186" s="128">
        <v>1</v>
      </c>
      <c r="B186" s="128" t="s">
        <v>87</v>
      </c>
      <c r="C186" s="128"/>
      <c r="D186" s="129"/>
      <c r="E186" s="125"/>
      <c r="F186" s="126"/>
      <c r="G186" s="125"/>
      <c r="H186" s="125"/>
      <c r="I186" s="125"/>
      <c r="J186" s="125"/>
      <c r="K186" s="126"/>
      <c r="L186" s="125"/>
      <c r="M186" s="126"/>
      <c r="N186" s="125"/>
      <c r="O186" s="125"/>
      <c r="P186" s="125"/>
      <c r="Q186" s="125"/>
      <c r="R186" s="167"/>
      <c r="S186" s="166"/>
      <c r="T186" s="167"/>
      <c r="U186" s="166"/>
      <c r="V186" s="166"/>
      <c r="W186" s="166"/>
      <c r="X186" s="166"/>
      <c r="Y186" s="126"/>
      <c r="Z186" s="125"/>
      <c r="AA186" s="126"/>
      <c r="AB186" s="125"/>
      <c r="AC186" s="125"/>
      <c r="AD186" s="125"/>
      <c r="AE186" s="125"/>
      <c r="AF186" s="128"/>
    </row>
    <row r="187" spans="1:32" ht="35.25" customHeight="1">
      <c r="A187" s="128">
        <v>2</v>
      </c>
      <c r="B187" s="128" t="s">
        <v>88</v>
      </c>
      <c r="C187" s="128"/>
      <c r="D187" s="129"/>
      <c r="E187" s="125"/>
      <c r="F187" s="126"/>
      <c r="G187" s="125"/>
      <c r="H187" s="125">
        <f>H188+H191</f>
        <v>4900</v>
      </c>
      <c r="I187" s="125">
        <f>I188+I191</f>
        <v>4900</v>
      </c>
      <c r="J187" s="125">
        <f>J188+J191</f>
        <v>0</v>
      </c>
      <c r="K187" s="126"/>
      <c r="L187" s="125"/>
      <c r="M187" s="126"/>
      <c r="N187" s="125"/>
      <c r="O187" s="125">
        <f>O188+O191</f>
        <v>4900</v>
      </c>
      <c r="P187" s="125">
        <f>P188+P191</f>
        <v>4900</v>
      </c>
      <c r="Q187" s="125">
        <f>Q188+Q191</f>
        <v>0</v>
      </c>
      <c r="R187" s="167"/>
      <c r="S187" s="166"/>
      <c r="T187" s="167"/>
      <c r="U187" s="166"/>
      <c r="V187" s="166">
        <f>V188+V191</f>
        <v>4994.477</v>
      </c>
      <c r="W187" s="166">
        <f>W188+W191</f>
        <v>4900</v>
      </c>
      <c r="X187" s="166">
        <f>X188+X191</f>
        <v>0</v>
      </c>
      <c r="Y187" s="126"/>
      <c r="Z187" s="125"/>
      <c r="AA187" s="126"/>
      <c r="AB187" s="125"/>
      <c r="AC187" s="125">
        <f>AC188+AC191</f>
        <v>4900.000000000001</v>
      </c>
      <c r="AD187" s="125">
        <f>AD188+AD191</f>
        <v>4900.000000000001</v>
      </c>
      <c r="AE187" s="125">
        <f>AE188+AE191</f>
        <v>0</v>
      </c>
      <c r="AF187" s="128"/>
    </row>
    <row r="188" spans="1:32" ht="40.5" customHeight="1">
      <c r="A188" s="128" t="s">
        <v>77</v>
      </c>
      <c r="B188" s="129" t="s">
        <v>83</v>
      </c>
      <c r="C188" s="128"/>
      <c r="D188" s="129"/>
      <c r="E188" s="125"/>
      <c r="F188" s="126"/>
      <c r="G188" s="125"/>
      <c r="H188" s="125"/>
      <c r="I188" s="125"/>
      <c r="J188" s="125"/>
      <c r="K188" s="126"/>
      <c r="L188" s="125"/>
      <c r="M188" s="126"/>
      <c r="N188" s="125"/>
      <c r="O188" s="125"/>
      <c r="P188" s="125"/>
      <c r="Q188" s="125"/>
      <c r="R188" s="167"/>
      <c r="S188" s="166"/>
      <c r="T188" s="167"/>
      <c r="U188" s="166"/>
      <c r="V188" s="166"/>
      <c r="W188" s="166"/>
      <c r="X188" s="166"/>
      <c r="Y188" s="126"/>
      <c r="Z188" s="125"/>
      <c r="AA188" s="126"/>
      <c r="AB188" s="125"/>
      <c r="AC188" s="125"/>
      <c r="AD188" s="125"/>
      <c r="AE188" s="125"/>
      <c r="AF188" s="128"/>
    </row>
    <row r="189" spans="1:32" ht="40.5" customHeight="1">
      <c r="A189" s="128" t="s">
        <v>92</v>
      </c>
      <c r="B189" s="129" t="s">
        <v>84</v>
      </c>
      <c r="C189" s="128"/>
      <c r="D189" s="129"/>
      <c r="E189" s="125"/>
      <c r="F189" s="126"/>
      <c r="G189" s="125"/>
      <c r="H189" s="125"/>
      <c r="I189" s="125"/>
      <c r="J189" s="125"/>
      <c r="K189" s="126"/>
      <c r="L189" s="125"/>
      <c r="M189" s="126"/>
      <c r="N189" s="125"/>
      <c r="O189" s="125"/>
      <c r="P189" s="125"/>
      <c r="Q189" s="125"/>
      <c r="R189" s="167"/>
      <c r="S189" s="166"/>
      <c r="T189" s="167"/>
      <c r="U189" s="166"/>
      <c r="V189" s="166"/>
      <c r="W189" s="166"/>
      <c r="X189" s="166"/>
      <c r="Y189" s="126"/>
      <c r="Z189" s="125"/>
      <c r="AA189" s="126"/>
      <c r="AB189" s="125"/>
      <c r="AC189" s="125"/>
      <c r="AD189" s="125"/>
      <c r="AE189" s="125"/>
      <c r="AF189" s="128"/>
    </row>
    <row r="190" spans="1:32" ht="40.5" customHeight="1">
      <c r="A190" s="128" t="s">
        <v>93</v>
      </c>
      <c r="B190" s="129" t="s">
        <v>85</v>
      </c>
      <c r="C190" s="128"/>
      <c r="D190" s="129"/>
      <c r="E190" s="125"/>
      <c r="F190" s="126"/>
      <c r="G190" s="125"/>
      <c r="H190" s="125"/>
      <c r="I190" s="125"/>
      <c r="J190" s="125"/>
      <c r="K190" s="126"/>
      <c r="L190" s="125"/>
      <c r="M190" s="126"/>
      <c r="N190" s="125"/>
      <c r="O190" s="125"/>
      <c r="P190" s="125"/>
      <c r="Q190" s="125"/>
      <c r="R190" s="167"/>
      <c r="S190" s="166"/>
      <c r="T190" s="167"/>
      <c r="U190" s="166"/>
      <c r="V190" s="166"/>
      <c r="W190" s="166"/>
      <c r="X190" s="166"/>
      <c r="Y190" s="126"/>
      <c r="Z190" s="125"/>
      <c r="AA190" s="126"/>
      <c r="AB190" s="125"/>
      <c r="AC190" s="125"/>
      <c r="AD190" s="125"/>
      <c r="AE190" s="125"/>
      <c r="AF190" s="128"/>
    </row>
    <row r="191" spans="1:32" ht="40.5" customHeight="1">
      <c r="A191" s="128" t="s">
        <v>79</v>
      </c>
      <c r="B191" s="129" t="s">
        <v>86</v>
      </c>
      <c r="C191" s="128"/>
      <c r="D191" s="129"/>
      <c r="E191" s="125"/>
      <c r="F191" s="126"/>
      <c r="G191" s="125"/>
      <c r="H191" s="125">
        <f>H192+H198</f>
        <v>4900</v>
      </c>
      <c r="I191" s="125">
        <f>I192+I198</f>
        <v>4900</v>
      </c>
      <c r="J191" s="125">
        <f>J192+J198</f>
        <v>0</v>
      </c>
      <c r="K191" s="126"/>
      <c r="L191" s="125"/>
      <c r="M191" s="126"/>
      <c r="N191" s="125"/>
      <c r="O191" s="125">
        <f>O192+O198</f>
        <v>4900</v>
      </c>
      <c r="P191" s="125">
        <f>P192+P198</f>
        <v>4900</v>
      </c>
      <c r="Q191" s="125">
        <f>Q192+Q198</f>
        <v>0</v>
      </c>
      <c r="R191" s="167"/>
      <c r="S191" s="166"/>
      <c r="T191" s="167"/>
      <c r="U191" s="166"/>
      <c r="V191" s="166">
        <f>V192+V198</f>
        <v>4994.477</v>
      </c>
      <c r="W191" s="166">
        <f>W192+W198</f>
        <v>4900</v>
      </c>
      <c r="X191" s="166">
        <f>X192+X198</f>
        <v>0</v>
      </c>
      <c r="Y191" s="126"/>
      <c r="Z191" s="125"/>
      <c r="AA191" s="126"/>
      <c r="AB191" s="125"/>
      <c r="AC191" s="125">
        <f>AC192+AC198</f>
        <v>4900.000000000001</v>
      </c>
      <c r="AD191" s="125">
        <f>AD192+AD198</f>
        <v>4900.000000000001</v>
      </c>
      <c r="AE191" s="125">
        <f>AE192+AE198</f>
        <v>0</v>
      </c>
      <c r="AF191" s="128"/>
    </row>
    <row r="192" spans="1:32" ht="40.5" customHeight="1">
      <c r="A192" s="128" t="s">
        <v>89</v>
      </c>
      <c r="B192" s="129" t="s">
        <v>84</v>
      </c>
      <c r="C192" s="128"/>
      <c r="D192" s="129"/>
      <c r="E192" s="125"/>
      <c r="F192" s="126"/>
      <c r="G192" s="125"/>
      <c r="H192" s="125">
        <f>SUM(H193:H195)</f>
        <v>4900</v>
      </c>
      <c r="I192" s="125">
        <f>SUM(I193:I195)</f>
        <v>4900</v>
      </c>
      <c r="J192" s="125">
        <f>SUM(J193:J195)</f>
        <v>0</v>
      </c>
      <c r="K192" s="126"/>
      <c r="L192" s="125"/>
      <c r="M192" s="126"/>
      <c r="N192" s="125"/>
      <c r="O192" s="125">
        <f aca="true" t="shared" si="93" ref="O192:V192">SUM(O193:O197)</f>
        <v>4900</v>
      </c>
      <c r="P192" s="125">
        <f t="shared" si="93"/>
        <v>4900</v>
      </c>
      <c r="Q192" s="125">
        <f t="shared" si="93"/>
        <v>0</v>
      </c>
      <c r="R192" s="166">
        <f t="shared" si="93"/>
        <v>0</v>
      </c>
      <c r="S192" s="166"/>
      <c r="T192" s="166">
        <f t="shared" si="93"/>
        <v>0</v>
      </c>
      <c r="U192" s="166">
        <f t="shared" si="93"/>
        <v>10262.195991</v>
      </c>
      <c r="V192" s="166">
        <f t="shared" si="93"/>
        <v>4994.477</v>
      </c>
      <c r="W192" s="166">
        <f>SUM(W193:W197)</f>
        <v>4900</v>
      </c>
      <c r="X192" s="166">
        <f>SUM(X193:X195)</f>
        <v>0</v>
      </c>
      <c r="Y192" s="125">
        <f>SUM(Y193:Y197)</f>
        <v>0</v>
      </c>
      <c r="Z192" s="125"/>
      <c r="AA192" s="125">
        <f>SUM(AA193:AA197)</f>
        <v>0</v>
      </c>
      <c r="AB192" s="125">
        <f>SUM(AB193:AB197)</f>
        <v>10262.195991</v>
      </c>
      <c r="AC192" s="125">
        <f>SUM(AC193:AC197)</f>
        <v>4900.000000000001</v>
      </c>
      <c r="AD192" s="125">
        <f>SUM(AD193:AD197)</f>
        <v>4900.000000000001</v>
      </c>
      <c r="AE192" s="125">
        <f>SUM(AE193:AE195)</f>
        <v>0</v>
      </c>
      <c r="AF192" s="128"/>
    </row>
    <row r="193" spans="1:36" s="120" customFormat="1" ht="64.5" customHeight="1">
      <c r="A193" s="117" t="s">
        <v>23</v>
      </c>
      <c r="B193" s="118" t="s">
        <v>42</v>
      </c>
      <c r="C193" s="119" t="s">
        <v>21</v>
      </c>
      <c r="D193" s="119" t="s">
        <v>25</v>
      </c>
      <c r="E193" s="119" t="s">
        <v>26</v>
      </c>
      <c r="F193" s="115" t="s">
        <v>193</v>
      </c>
      <c r="G193" s="116">
        <v>3394.08853</v>
      </c>
      <c r="H193" s="116">
        <f>I193</f>
        <v>3394</v>
      </c>
      <c r="I193" s="116">
        <v>3394</v>
      </c>
      <c r="J193" s="116"/>
      <c r="K193" s="115" t="s">
        <v>193</v>
      </c>
      <c r="L193" s="116">
        <v>3394.08853</v>
      </c>
      <c r="M193" s="115" t="s">
        <v>45</v>
      </c>
      <c r="N193" s="116">
        <v>3394.08853</v>
      </c>
      <c r="O193" s="116">
        <f>P193</f>
        <v>3155</v>
      </c>
      <c r="P193" s="116">
        <v>3155</v>
      </c>
      <c r="Q193" s="116"/>
      <c r="R193" s="169" t="s">
        <v>193</v>
      </c>
      <c r="S193" s="170">
        <v>3394.08853</v>
      </c>
      <c r="T193" s="169" t="s">
        <v>45</v>
      </c>
      <c r="U193" s="170">
        <v>3394.08853</v>
      </c>
      <c r="V193" s="170">
        <f>W193</f>
        <v>3155</v>
      </c>
      <c r="W193" s="170">
        <v>3155</v>
      </c>
      <c r="X193" s="170"/>
      <c r="Y193" s="115" t="s">
        <v>193</v>
      </c>
      <c r="Z193" s="116">
        <v>3394.08853</v>
      </c>
      <c r="AA193" s="115" t="s">
        <v>45</v>
      </c>
      <c r="AB193" s="116">
        <v>3394.08853</v>
      </c>
      <c r="AC193" s="116">
        <f>AD193</f>
        <v>3155</v>
      </c>
      <c r="AD193" s="116">
        <v>3155</v>
      </c>
      <c r="AE193" s="116"/>
      <c r="AF193" s="119"/>
      <c r="AJ193" s="121"/>
    </row>
    <row r="194" spans="1:36" s="120" customFormat="1" ht="65.25" customHeight="1">
      <c r="A194" s="117" t="s">
        <v>23</v>
      </c>
      <c r="B194" s="118" t="s">
        <v>41</v>
      </c>
      <c r="C194" s="119" t="s">
        <v>21</v>
      </c>
      <c r="D194" s="119" t="s">
        <v>31</v>
      </c>
      <c r="E194" s="115" t="s">
        <v>44</v>
      </c>
      <c r="F194" s="115" t="s">
        <v>46</v>
      </c>
      <c r="G194" s="116">
        <v>3456.626461</v>
      </c>
      <c r="H194" s="116">
        <f>+I194</f>
        <v>1396</v>
      </c>
      <c r="I194" s="116">
        <v>1396</v>
      </c>
      <c r="J194" s="116"/>
      <c r="K194" s="115" t="s">
        <v>46</v>
      </c>
      <c r="L194" s="116">
        <v>3456.626461</v>
      </c>
      <c r="M194" s="115" t="s">
        <v>187</v>
      </c>
      <c r="N194" s="116">
        <v>3456.626461</v>
      </c>
      <c r="O194" s="116">
        <f>+P194</f>
        <v>1396</v>
      </c>
      <c r="P194" s="116">
        <v>1396</v>
      </c>
      <c r="Q194" s="116"/>
      <c r="R194" s="169" t="s">
        <v>46</v>
      </c>
      <c r="S194" s="170">
        <v>3456.626461</v>
      </c>
      <c r="T194" s="169" t="s">
        <v>187</v>
      </c>
      <c r="U194" s="170">
        <v>3456.626461</v>
      </c>
      <c r="V194" s="170">
        <f>+W194</f>
        <v>1330.005</v>
      </c>
      <c r="W194" s="170">
        <f>1396-65.995</f>
        <v>1330.005</v>
      </c>
      <c r="X194" s="170"/>
      <c r="Y194" s="115" t="s">
        <v>46</v>
      </c>
      <c r="Z194" s="116">
        <v>3456.626461</v>
      </c>
      <c r="AA194" s="115" t="s">
        <v>187</v>
      </c>
      <c r="AB194" s="116">
        <v>3456.626461</v>
      </c>
      <c r="AC194" s="116">
        <f>+AD194</f>
        <v>1330.005</v>
      </c>
      <c r="AD194" s="116">
        <f>1396-65.995</f>
        <v>1330.005</v>
      </c>
      <c r="AE194" s="116"/>
      <c r="AF194" s="119" t="s">
        <v>351</v>
      </c>
      <c r="AJ194" s="121"/>
    </row>
    <row r="195" spans="1:36" s="120" customFormat="1" ht="78" customHeight="1">
      <c r="A195" s="117" t="s">
        <v>23</v>
      </c>
      <c r="B195" s="118" t="s">
        <v>40</v>
      </c>
      <c r="C195" s="119" t="s">
        <v>21</v>
      </c>
      <c r="D195" s="119" t="s">
        <v>43</v>
      </c>
      <c r="E195" s="115" t="s">
        <v>44</v>
      </c>
      <c r="F195" s="115" t="s">
        <v>72</v>
      </c>
      <c r="G195" s="116">
        <v>3411.481</v>
      </c>
      <c r="H195" s="116">
        <f>+I195</f>
        <v>110</v>
      </c>
      <c r="I195" s="116">
        <v>110</v>
      </c>
      <c r="J195" s="116"/>
      <c r="K195" s="115" t="s">
        <v>72</v>
      </c>
      <c r="L195" s="116">
        <v>3411.481</v>
      </c>
      <c r="M195" s="115" t="s">
        <v>188</v>
      </c>
      <c r="N195" s="116">
        <v>3411.481</v>
      </c>
      <c r="O195" s="116">
        <v>110</v>
      </c>
      <c r="P195" s="116">
        <v>110</v>
      </c>
      <c r="Q195" s="116"/>
      <c r="R195" s="169" t="s">
        <v>72</v>
      </c>
      <c r="S195" s="170">
        <v>3411.481</v>
      </c>
      <c r="T195" s="169" t="s">
        <v>188</v>
      </c>
      <c r="U195" s="170">
        <v>3411.481</v>
      </c>
      <c r="V195" s="170">
        <v>110</v>
      </c>
      <c r="W195" s="170">
        <f>110-94.477</f>
        <v>15.522999999999996</v>
      </c>
      <c r="X195" s="170"/>
      <c r="Y195" s="115" t="s">
        <v>72</v>
      </c>
      <c r="Z195" s="116">
        <v>3411.481</v>
      </c>
      <c r="AA195" s="115" t="s">
        <v>188</v>
      </c>
      <c r="AB195" s="116">
        <v>3411.481</v>
      </c>
      <c r="AC195" s="116">
        <f>AD195</f>
        <v>60.042</v>
      </c>
      <c r="AD195" s="116">
        <f>110-49.958</f>
        <v>60.042</v>
      </c>
      <c r="AE195" s="116"/>
      <c r="AF195" s="119" t="s">
        <v>369</v>
      </c>
      <c r="AJ195" s="121"/>
    </row>
    <row r="196" spans="1:36" s="120" customFormat="1" ht="49.5">
      <c r="A196" s="117" t="s">
        <v>23</v>
      </c>
      <c r="B196" s="118" t="s">
        <v>314</v>
      </c>
      <c r="C196" s="119" t="s">
        <v>21</v>
      </c>
      <c r="D196" s="119" t="s">
        <v>22</v>
      </c>
      <c r="E196" s="119" t="s">
        <v>38</v>
      </c>
      <c r="F196" s="115"/>
      <c r="G196" s="116"/>
      <c r="H196" s="116"/>
      <c r="I196" s="116"/>
      <c r="J196" s="116"/>
      <c r="K196" s="115" t="s">
        <v>255</v>
      </c>
      <c r="L196" s="116">
        <v>546</v>
      </c>
      <c r="M196" s="115"/>
      <c r="N196" s="116"/>
      <c r="O196" s="116">
        <f>P196</f>
        <v>239</v>
      </c>
      <c r="P196" s="116">
        <v>239</v>
      </c>
      <c r="Q196" s="116"/>
      <c r="R196" s="169" t="s">
        <v>255</v>
      </c>
      <c r="S196" s="170">
        <v>491</v>
      </c>
      <c r="T196" s="169"/>
      <c r="U196" s="170"/>
      <c r="V196" s="170">
        <f>W196</f>
        <v>239</v>
      </c>
      <c r="W196" s="170">
        <v>239</v>
      </c>
      <c r="X196" s="170"/>
      <c r="Y196" s="115" t="s">
        <v>379</v>
      </c>
      <c r="Z196" s="116">
        <v>491</v>
      </c>
      <c r="AA196" s="115"/>
      <c r="AB196" s="116"/>
      <c r="AC196" s="116">
        <f>AD196</f>
        <v>239</v>
      </c>
      <c r="AD196" s="116">
        <v>239</v>
      </c>
      <c r="AE196" s="116"/>
      <c r="AF196" s="119" t="s">
        <v>325</v>
      </c>
      <c r="AG196" s="130"/>
      <c r="AJ196" s="121"/>
    </row>
    <row r="197" spans="1:36" s="120" customFormat="1" ht="120.75" customHeight="1">
      <c r="A197" s="117" t="s">
        <v>23</v>
      </c>
      <c r="B197" s="118" t="s">
        <v>338</v>
      </c>
      <c r="C197" s="119" t="s">
        <v>21</v>
      </c>
      <c r="D197" s="119" t="s">
        <v>22</v>
      </c>
      <c r="E197" s="119" t="s">
        <v>140</v>
      </c>
      <c r="F197" s="115"/>
      <c r="G197" s="116"/>
      <c r="H197" s="116"/>
      <c r="I197" s="116"/>
      <c r="J197" s="116"/>
      <c r="K197" s="115"/>
      <c r="L197" s="116"/>
      <c r="M197" s="115"/>
      <c r="N197" s="116"/>
      <c r="O197" s="116"/>
      <c r="P197" s="116"/>
      <c r="Q197" s="116"/>
      <c r="R197" s="169" t="s">
        <v>255</v>
      </c>
      <c r="S197" s="170">
        <v>2202.624</v>
      </c>
      <c r="T197" s="169"/>
      <c r="U197" s="170"/>
      <c r="V197" s="170">
        <f>W197</f>
        <v>160.472</v>
      </c>
      <c r="W197" s="170">
        <f>94.477+65.995</f>
        <v>160.472</v>
      </c>
      <c r="X197" s="170"/>
      <c r="Y197" s="115" t="s">
        <v>377</v>
      </c>
      <c r="Z197" s="116">
        <v>3612.616839</v>
      </c>
      <c r="AA197" s="115"/>
      <c r="AB197" s="116"/>
      <c r="AC197" s="116">
        <f>AD197</f>
        <v>115.953</v>
      </c>
      <c r="AD197" s="116">
        <f>49.958+65.995</f>
        <v>115.953</v>
      </c>
      <c r="AE197" s="116"/>
      <c r="AF197" s="135" t="s">
        <v>343</v>
      </c>
      <c r="AG197" s="130"/>
      <c r="AJ197" s="121"/>
    </row>
    <row r="198" spans="1:36" s="120" customFormat="1" ht="36.75" customHeight="1">
      <c r="A198" s="128" t="s">
        <v>97</v>
      </c>
      <c r="B198" s="129" t="s">
        <v>101</v>
      </c>
      <c r="C198" s="129"/>
      <c r="D198" s="129"/>
      <c r="E198" s="129"/>
      <c r="F198" s="126"/>
      <c r="G198" s="125"/>
      <c r="H198" s="125"/>
      <c r="I198" s="125"/>
      <c r="J198" s="125"/>
      <c r="K198" s="126"/>
      <c r="L198" s="125"/>
      <c r="M198" s="126"/>
      <c r="N198" s="125"/>
      <c r="O198" s="125"/>
      <c r="P198" s="125"/>
      <c r="Q198" s="125"/>
      <c r="R198" s="167"/>
      <c r="S198" s="166"/>
      <c r="T198" s="167"/>
      <c r="U198" s="166"/>
      <c r="V198" s="166"/>
      <c r="W198" s="166"/>
      <c r="X198" s="166"/>
      <c r="Y198" s="126"/>
      <c r="Z198" s="125"/>
      <c r="AA198" s="126"/>
      <c r="AB198" s="125"/>
      <c r="AC198" s="125"/>
      <c r="AD198" s="125"/>
      <c r="AE198" s="125"/>
      <c r="AF198" s="128"/>
      <c r="AJ198" s="121"/>
    </row>
    <row r="199" spans="1:36" s="120" customFormat="1" ht="36.75" customHeight="1">
      <c r="A199" s="128" t="s">
        <v>200</v>
      </c>
      <c r="B199" s="129" t="s">
        <v>201</v>
      </c>
      <c r="C199" s="129"/>
      <c r="D199" s="129"/>
      <c r="E199" s="129"/>
      <c r="F199" s="126"/>
      <c r="G199" s="125"/>
      <c r="H199" s="125">
        <f aca="true" t="shared" si="94" ref="H199:J200">H200</f>
        <v>0</v>
      </c>
      <c r="I199" s="125">
        <f t="shared" si="94"/>
        <v>0</v>
      </c>
      <c r="J199" s="125">
        <f t="shared" si="94"/>
        <v>0</v>
      </c>
      <c r="K199" s="126"/>
      <c r="L199" s="125"/>
      <c r="M199" s="126"/>
      <c r="N199" s="125"/>
      <c r="O199" s="125">
        <f aca="true" t="shared" si="95" ref="O199:Q200">O200</f>
        <v>6497</v>
      </c>
      <c r="P199" s="125">
        <f t="shared" si="95"/>
        <v>6497</v>
      </c>
      <c r="Q199" s="125">
        <f t="shared" si="95"/>
        <v>0</v>
      </c>
      <c r="R199" s="167"/>
      <c r="S199" s="166"/>
      <c r="T199" s="167"/>
      <c r="U199" s="166"/>
      <c r="V199" s="166">
        <f aca="true" t="shared" si="96" ref="V199:X200">V200</f>
        <v>6497</v>
      </c>
      <c r="W199" s="166">
        <f t="shared" si="96"/>
        <v>6497</v>
      </c>
      <c r="X199" s="166">
        <f t="shared" si="96"/>
        <v>0</v>
      </c>
      <c r="Y199" s="126"/>
      <c r="Z199" s="125"/>
      <c r="AA199" s="126"/>
      <c r="AB199" s="125"/>
      <c r="AC199" s="125">
        <f aca="true" t="shared" si="97" ref="AC199:AE200">AC200</f>
        <v>6497</v>
      </c>
      <c r="AD199" s="125">
        <f t="shared" si="97"/>
        <v>6497</v>
      </c>
      <c r="AE199" s="125">
        <f t="shared" si="97"/>
        <v>0</v>
      </c>
      <c r="AF199" s="128"/>
      <c r="AJ199" s="121"/>
    </row>
    <row r="200" spans="1:36" s="120" customFormat="1" ht="36.75" customHeight="1">
      <c r="A200" s="128">
        <v>1</v>
      </c>
      <c r="B200" s="128" t="s">
        <v>87</v>
      </c>
      <c r="C200" s="128"/>
      <c r="D200" s="129"/>
      <c r="E200" s="125"/>
      <c r="F200" s="126"/>
      <c r="G200" s="125"/>
      <c r="H200" s="125">
        <f t="shared" si="94"/>
        <v>0</v>
      </c>
      <c r="I200" s="125">
        <f t="shared" si="94"/>
        <v>0</v>
      </c>
      <c r="J200" s="125">
        <f t="shared" si="94"/>
        <v>0</v>
      </c>
      <c r="K200" s="126"/>
      <c r="L200" s="125"/>
      <c r="M200" s="126"/>
      <c r="N200" s="125"/>
      <c r="O200" s="125">
        <f t="shared" si="95"/>
        <v>6497</v>
      </c>
      <c r="P200" s="125">
        <f t="shared" si="95"/>
        <v>6497</v>
      </c>
      <c r="Q200" s="125">
        <f t="shared" si="95"/>
        <v>0</v>
      </c>
      <c r="R200" s="167"/>
      <c r="S200" s="166"/>
      <c r="T200" s="167"/>
      <c r="U200" s="166"/>
      <c r="V200" s="166">
        <f t="shared" si="96"/>
        <v>6497</v>
      </c>
      <c r="W200" s="166">
        <f t="shared" si="96"/>
        <v>6497</v>
      </c>
      <c r="X200" s="166">
        <f t="shared" si="96"/>
        <v>0</v>
      </c>
      <c r="Y200" s="126"/>
      <c r="Z200" s="125"/>
      <c r="AA200" s="126"/>
      <c r="AB200" s="125"/>
      <c r="AC200" s="125">
        <f t="shared" si="97"/>
        <v>6497</v>
      </c>
      <c r="AD200" s="125">
        <f t="shared" si="97"/>
        <v>6497</v>
      </c>
      <c r="AE200" s="125">
        <f t="shared" si="97"/>
        <v>0</v>
      </c>
      <c r="AF200" s="128"/>
      <c r="AJ200" s="121"/>
    </row>
    <row r="201" spans="1:36" s="120" customFormat="1" ht="36.75" customHeight="1">
      <c r="A201" s="128">
        <v>2</v>
      </c>
      <c r="B201" s="128" t="s">
        <v>88</v>
      </c>
      <c r="C201" s="128"/>
      <c r="D201" s="129"/>
      <c r="E201" s="125"/>
      <c r="F201" s="126"/>
      <c r="G201" s="125"/>
      <c r="H201" s="125">
        <f>H202+H205</f>
        <v>0</v>
      </c>
      <c r="I201" s="125">
        <f>I202+I205</f>
        <v>0</v>
      </c>
      <c r="J201" s="125">
        <f>J202+J205</f>
        <v>0</v>
      </c>
      <c r="K201" s="126"/>
      <c r="L201" s="125"/>
      <c r="M201" s="126"/>
      <c r="N201" s="125"/>
      <c r="O201" s="125">
        <f>O202+O205</f>
        <v>6497</v>
      </c>
      <c r="P201" s="125">
        <f>P202+P205</f>
        <v>6497</v>
      </c>
      <c r="Q201" s="125">
        <f>Q202+Q205</f>
        <v>0</v>
      </c>
      <c r="R201" s="167"/>
      <c r="S201" s="166"/>
      <c r="T201" s="167"/>
      <c r="U201" s="166"/>
      <c r="V201" s="166">
        <f>V202+V205</f>
        <v>6497</v>
      </c>
      <c r="W201" s="166">
        <f>W202+W205</f>
        <v>6497</v>
      </c>
      <c r="X201" s="166">
        <f>X202+X205</f>
        <v>0</v>
      </c>
      <c r="Y201" s="126"/>
      <c r="Z201" s="125"/>
      <c r="AA201" s="126"/>
      <c r="AB201" s="125"/>
      <c r="AC201" s="125">
        <f>AC202+AC205</f>
        <v>6497</v>
      </c>
      <c r="AD201" s="125">
        <f>AD202+AD205</f>
        <v>6497</v>
      </c>
      <c r="AE201" s="125">
        <f>AE202+AE205</f>
        <v>0</v>
      </c>
      <c r="AF201" s="128"/>
      <c r="AJ201" s="121"/>
    </row>
    <row r="202" spans="1:36" s="120" customFormat="1" ht="33">
      <c r="A202" s="128" t="s">
        <v>77</v>
      </c>
      <c r="B202" s="129" t="s">
        <v>83</v>
      </c>
      <c r="C202" s="128"/>
      <c r="D202" s="129"/>
      <c r="E202" s="125"/>
      <c r="F202" s="126"/>
      <c r="G202" s="125"/>
      <c r="H202" s="125"/>
      <c r="I202" s="125"/>
      <c r="J202" s="125"/>
      <c r="K202" s="126"/>
      <c r="L202" s="125"/>
      <c r="M202" s="126"/>
      <c r="N202" s="125"/>
      <c r="O202" s="125"/>
      <c r="P202" s="125"/>
      <c r="Q202" s="125"/>
      <c r="R202" s="167"/>
      <c r="S202" s="166"/>
      <c r="T202" s="167"/>
      <c r="U202" s="166"/>
      <c r="V202" s="166"/>
      <c r="W202" s="166"/>
      <c r="X202" s="166"/>
      <c r="Y202" s="126"/>
      <c r="Z202" s="125"/>
      <c r="AA202" s="126"/>
      <c r="AB202" s="125"/>
      <c r="AC202" s="125"/>
      <c r="AD202" s="125"/>
      <c r="AE202" s="125"/>
      <c r="AF202" s="128"/>
      <c r="AJ202" s="121"/>
    </row>
    <row r="203" spans="1:36" s="120" customFormat="1" ht="33" customHeight="1">
      <c r="A203" s="128" t="s">
        <v>92</v>
      </c>
      <c r="B203" s="129" t="s">
        <v>84</v>
      </c>
      <c r="C203" s="128"/>
      <c r="D203" s="129"/>
      <c r="E203" s="125"/>
      <c r="F203" s="126"/>
      <c r="G203" s="125"/>
      <c r="H203" s="125"/>
      <c r="I203" s="125"/>
      <c r="J203" s="125"/>
      <c r="K203" s="126"/>
      <c r="L203" s="125"/>
      <c r="M203" s="126"/>
      <c r="N203" s="125"/>
      <c r="O203" s="125"/>
      <c r="P203" s="125"/>
      <c r="Q203" s="125"/>
      <c r="R203" s="167"/>
      <c r="S203" s="166"/>
      <c r="T203" s="167"/>
      <c r="U203" s="166"/>
      <c r="V203" s="166"/>
      <c r="W203" s="166"/>
      <c r="X203" s="166"/>
      <c r="Y203" s="126"/>
      <c r="Z203" s="125"/>
      <c r="AA203" s="126"/>
      <c r="AB203" s="125"/>
      <c r="AC203" s="125"/>
      <c r="AD203" s="125"/>
      <c r="AE203" s="125"/>
      <c r="AF203" s="128"/>
      <c r="AJ203" s="121"/>
    </row>
    <row r="204" spans="1:36" s="120" customFormat="1" ht="33" customHeight="1">
      <c r="A204" s="128" t="s">
        <v>93</v>
      </c>
      <c r="B204" s="129" t="s">
        <v>85</v>
      </c>
      <c r="C204" s="128"/>
      <c r="D204" s="129"/>
      <c r="E204" s="125"/>
      <c r="F204" s="126"/>
      <c r="G204" s="125"/>
      <c r="H204" s="125"/>
      <c r="I204" s="125"/>
      <c r="J204" s="125"/>
      <c r="K204" s="126"/>
      <c r="L204" s="125"/>
      <c r="M204" s="126"/>
      <c r="N204" s="125"/>
      <c r="O204" s="125"/>
      <c r="P204" s="125"/>
      <c r="Q204" s="125"/>
      <c r="R204" s="167"/>
      <c r="S204" s="166"/>
      <c r="T204" s="167"/>
      <c r="U204" s="166"/>
      <c r="V204" s="166"/>
      <c r="W204" s="166"/>
      <c r="X204" s="166"/>
      <c r="Y204" s="126"/>
      <c r="Z204" s="125"/>
      <c r="AA204" s="126"/>
      <c r="AB204" s="125"/>
      <c r="AC204" s="125"/>
      <c r="AD204" s="125"/>
      <c r="AE204" s="125"/>
      <c r="AF204" s="128"/>
      <c r="AJ204" s="121"/>
    </row>
    <row r="205" spans="1:36" s="120" customFormat="1" ht="33" customHeight="1">
      <c r="A205" s="128" t="s">
        <v>79</v>
      </c>
      <c r="B205" s="129" t="s">
        <v>86</v>
      </c>
      <c r="C205" s="128"/>
      <c r="D205" s="129"/>
      <c r="E205" s="125"/>
      <c r="F205" s="126"/>
      <c r="G205" s="125"/>
      <c r="H205" s="125">
        <f>H206+H253</f>
        <v>0</v>
      </c>
      <c r="I205" s="125">
        <f>I206+I253</f>
        <v>0</v>
      </c>
      <c r="J205" s="125">
        <f>J206+J253</f>
        <v>0</v>
      </c>
      <c r="K205" s="126"/>
      <c r="L205" s="125"/>
      <c r="M205" s="126"/>
      <c r="N205" s="125"/>
      <c r="O205" s="125">
        <f>O206+O253</f>
        <v>6497</v>
      </c>
      <c r="P205" s="125">
        <f>P206+P253</f>
        <v>6497</v>
      </c>
      <c r="Q205" s="125">
        <f>Q206+Q253</f>
        <v>0</v>
      </c>
      <c r="R205" s="167"/>
      <c r="S205" s="166"/>
      <c r="T205" s="167"/>
      <c r="U205" s="166"/>
      <c r="V205" s="166">
        <f>V206+V253</f>
        <v>6497</v>
      </c>
      <c r="W205" s="166">
        <f>W206+W253</f>
        <v>6497</v>
      </c>
      <c r="X205" s="166">
        <f>X206+X253</f>
        <v>0</v>
      </c>
      <c r="Y205" s="126"/>
      <c r="Z205" s="125"/>
      <c r="AA205" s="126"/>
      <c r="AB205" s="125"/>
      <c r="AC205" s="125">
        <f>AC206+AC253</f>
        <v>6497</v>
      </c>
      <c r="AD205" s="125">
        <f>AD206+AD253</f>
        <v>6497</v>
      </c>
      <c r="AE205" s="125">
        <f>AE206+AE253</f>
        <v>0</v>
      </c>
      <c r="AF205" s="128"/>
      <c r="AJ205" s="121"/>
    </row>
    <row r="206" spans="1:36" s="120" customFormat="1" ht="33" customHeight="1">
      <c r="A206" s="128" t="s">
        <v>89</v>
      </c>
      <c r="B206" s="129" t="s">
        <v>84</v>
      </c>
      <c r="C206" s="128"/>
      <c r="D206" s="129"/>
      <c r="E206" s="125"/>
      <c r="F206" s="126"/>
      <c r="G206" s="125"/>
      <c r="H206" s="125">
        <f>H207</f>
        <v>0</v>
      </c>
      <c r="I206" s="125">
        <f>I207</f>
        <v>0</v>
      </c>
      <c r="J206" s="125">
        <f>J207</f>
        <v>0</v>
      </c>
      <c r="K206" s="126"/>
      <c r="L206" s="125"/>
      <c r="M206" s="126"/>
      <c r="N206" s="125"/>
      <c r="O206" s="125">
        <f aca="true" t="shared" si="98" ref="O206:V206">O207+O208+O209</f>
        <v>6497</v>
      </c>
      <c r="P206" s="125">
        <f t="shared" si="98"/>
        <v>6497</v>
      </c>
      <c r="Q206" s="125">
        <f t="shared" si="98"/>
        <v>0</v>
      </c>
      <c r="R206" s="166"/>
      <c r="S206" s="166"/>
      <c r="T206" s="166">
        <f t="shared" si="98"/>
        <v>0</v>
      </c>
      <c r="U206" s="166">
        <f t="shared" si="98"/>
        <v>0</v>
      </c>
      <c r="V206" s="166">
        <f t="shared" si="98"/>
        <v>6497</v>
      </c>
      <c r="W206" s="166">
        <f>W207+W208+W209</f>
        <v>6497</v>
      </c>
      <c r="X206" s="166">
        <f>X207</f>
        <v>0</v>
      </c>
      <c r="Y206" s="125"/>
      <c r="Z206" s="125"/>
      <c r="AA206" s="125">
        <f>AA207+AA208+AA209</f>
        <v>0</v>
      </c>
      <c r="AB206" s="125">
        <f>AB207+AB208+AB209</f>
        <v>0</v>
      </c>
      <c r="AC206" s="125">
        <f>AC207+AC208+AC209</f>
        <v>6497</v>
      </c>
      <c r="AD206" s="125">
        <f>AD207+AD208+AD209</f>
        <v>6497</v>
      </c>
      <c r="AE206" s="125">
        <f>AE207</f>
        <v>0</v>
      </c>
      <c r="AF206" s="128"/>
      <c r="AJ206" s="121"/>
    </row>
    <row r="207" spans="1:36" s="120" customFormat="1" ht="74.25" customHeight="1">
      <c r="A207" s="117" t="s">
        <v>23</v>
      </c>
      <c r="B207" s="118" t="s">
        <v>202</v>
      </c>
      <c r="C207" s="119" t="s">
        <v>21</v>
      </c>
      <c r="D207" s="119" t="s">
        <v>25</v>
      </c>
      <c r="E207" s="119" t="s">
        <v>44</v>
      </c>
      <c r="F207" s="115"/>
      <c r="G207" s="116"/>
      <c r="H207" s="116"/>
      <c r="I207" s="116"/>
      <c r="J207" s="116"/>
      <c r="K207" s="115" t="s">
        <v>203</v>
      </c>
      <c r="L207" s="116">
        <v>5029</v>
      </c>
      <c r="M207" s="115"/>
      <c r="N207" s="116"/>
      <c r="O207" s="116">
        <f>P207</f>
        <v>5029</v>
      </c>
      <c r="P207" s="116">
        <v>5029</v>
      </c>
      <c r="Q207" s="116"/>
      <c r="R207" s="169" t="s">
        <v>203</v>
      </c>
      <c r="S207" s="170">
        <v>5029</v>
      </c>
      <c r="T207" s="169"/>
      <c r="U207" s="170"/>
      <c r="V207" s="170">
        <f>W207</f>
        <v>4735.362</v>
      </c>
      <c r="W207" s="170">
        <f>5029-293.638</f>
        <v>4735.362</v>
      </c>
      <c r="X207" s="170"/>
      <c r="Y207" s="115" t="s">
        <v>203</v>
      </c>
      <c r="Z207" s="116">
        <v>5029</v>
      </c>
      <c r="AA207" s="115"/>
      <c r="AB207" s="116"/>
      <c r="AC207" s="116">
        <f>AD207</f>
        <v>4735.362</v>
      </c>
      <c r="AD207" s="116">
        <f>5029-293.638</f>
        <v>4735.362</v>
      </c>
      <c r="AE207" s="116"/>
      <c r="AF207" s="119" t="s">
        <v>342</v>
      </c>
      <c r="AJ207" s="121"/>
    </row>
    <row r="208" spans="1:36" s="120" customFormat="1" ht="55.5" customHeight="1">
      <c r="A208" s="133" t="s">
        <v>23</v>
      </c>
      <c r="B208" s="118" t="s">
        <v>320</v>
      </c>
      <c r="C208" s="119" t="s">
        <v>21</v>
      </c>
      <c r="D208" s="119" t="s">
        <v>25</v>
      </c>
      <c r="E208" s="119" t="s">
        <v>38</v>
      </c>
      <c r="F208" s="115"/>
      <c r="G208" s="116"/>
      <c r="H208" s="116"/>
      <c r="I208" s="116"/>
      <c r="J208" s="116"/>
      <c r="K208" s="115" t="s">
        <v>167</v>
      </c>
      <c r="L208" s="116">
        <v>5000</v>
      </c>
      <c r="M208" s="115"/>
      <c r="N208" s="116"/>
      <c r="O208" s="116">
        <v>1468</v>
      </c>
      <c r="P208" s="116">
        <v>1468</v>
      </c>
      <c r="Q208" s="116"/>
      <c r="R208" s="169" t="s">
        <v>167</v>
      </c>
      <c r="S208" s="170">
        <v>5000</v>
      </c>
      <c r="T208" s="169"/>
      <c r="U208" s="170"/>
      <c r="V208" s="170">
        <v>1468</v>
      </c>
      <c r="W208" s="170">
        <v>1468</v>
      </c>
      <c r="X208" s="170"/>
      <c r="Y208" s="115" t="s">
        <v>382</v>
      </c>
      <c r="Z208" s="116">
        <v>4996</v>
      </c>
      <c r="AA208" s="115"/>
      <c r="AB208" s="116"/>
      <c r="AC208" s="116">
        <v>1468</v>
      </c>
      <c r="AD208" s="116">
        <v>1468</v>
      </c>
      <c r="AE208" s="116"/>
      <c r="AF208" s="150"/>
      <c r="AJ208" s="121"/>
    </row>
    <row r="209" spans="1:36" s="120" customFormat="1" ht="94.5" customHeight="1">
      <c r="A209" s="117" t="s">
        <v>23</v>
      </c>
      <c r="B209" s="118" t="s">
        <v>338</v>
      </c>
      <c r="C209" s="119" t="s">
        <v>21</v>
      </c>
      <c r="D209" s="119" t="s">
        <v>22</v>
      </c>
      <c r="E209" s="119" t="s">
        <v>140</v>
      </c>
      <c r="F209" s="115"/>
      <c r="G209" s="116"/>
      <c r="H209" s="116"/>
      <c r="I209" s="116"/>
      <c r="J209" s="116"/>
      <c r="K209" s="115"/>
      <c r="L209" s="116"/>
      <c r="M209" s="115"/>
      <c r="N209" s="116"/>
      <c r="O209" s="116"/>
      <c r="P209" s="116"/>
      <c r="Q209" s="116"/>
      <c r="R209" s="169" t="s">
        <v>255</v>
      </c>
      <c r="S209" s="170">
        <v>2202.624</v>
      </c>
      <c r="T209" s="169"/>
      <c r="U209" s="170"/>
      <c r="V209" s="170">
        <f>W209</f>
        <v>293.638</v>
      </c>
      <c r="W209" s="170">
        <f>293.638</f>
        <v>293.638</v>
      </c>
      <c r="X209" s="170"/>
      <c r="Y209" s="115" t="s">
        <v>377</v>
      </c>
      <c r="Z209" s="116">
        <v>3612.616839</v>
      </c>
      <c r="AA209" s="115"/>
      <c r="AB209" s="116"/>
      <c r="AC209" s="116">
        <f>AD209</f>
        <v>293.638</v>
      </c>
      <c r="AD209" s="116">
        <f>293.638</f>
        <v>293.638</v>
      </c>
      <c r="AE209" s="116"/>
      <c r="AF209" s="135" t="s">
        <v>344</v>
      </c>
      <c r="AG209" s="130"/>
      <c r="AJ209" s="121"/>
    </row>
    <row r="210" spans="1:36" s="120" customFormat="1" ht="54" customHeight="1">
      <c r="A210" s="128" t="s">
        <v>221</v>
      </c>
      <c r="B210" s="129" t="s">
        <v>262</v>
      </c>
      <c r="C210" s="129"/>
      <c r="D210" s="129"/>
      <c r="E210" s="129"/>
      <c r="F210" s="126"/>
      <c r="G210" s="125"/>
      <c r="H210" s="125">
        <f>H212</f>
        <v>0</v>
      </c>
      <c r="I210" s="125">
        <f>I212</f>
        <v>0</v>
      </c>
      <c r="J210" s="125">
        <f>J212</f>
        <v>0</v>
      </c>
      <c r="K210" s="126"/>
      <c r="L210" s="125"/>
      <c r="M210" s="126"/>
      <c r="N210" s="125"/>
      <c r="O210" s="125">
        <f>O212</f>
        <v>3532</v>
      </c>
      <c r="P210" s="125">
        <f>P212</f>
        <v>3532</v>
      </c>
      <c r="Q210" s="125">
        <f>Q212</f>
        <v>0</v>
      </c>
      <c r="R210" s="167"/>
      <c r="S210" s="166"/>
      <c r="T210" s="167"/>
      <c r="U210" s="166"/>
      <c r="V210" s="166">
        <f>V212</f>
        <v>3532</v>
      </c>
      <c r="W210" s="166">
        <f>W212</f>
        <v>3532</v>
      </c>
      <c r="X210" s="166">
        <f>X212</f>
        <v>0</v>
      </c>
      <c r="Y210" s="126"/>
      <c r="Z210" s="125"/>
      <c r="AA210" s="126"/>
      <c r="AB210" s="125"/>
      <c r="AC210" s="125">
        <f>AC212</f>
        <v>3532</v>
      </c>
      <c r="AD210" s="125">
        <f>AD212</f>
        <v>3532</v>
      </c>
      <c r="AE210" s="125">
        <f>AE212</f>
        <v>0</v>
      </c>
      <c r="AF210" s="128"/>
      <c r="AJ210" s="121"/>
    </row>
    <row r="211" spans="1:36" s="120" customFormat="1" ht="36.75" customHeight="1">
      <c r="A211" s="128">
        <v>1</v>
      </c>
      <c r="B211" s="128" t="s">
        <v>87</v>
      </c>
      <c r="C211" s="128"/>
      <c r="D211" s="129"/>
      <c r="E211" s="125"/>
      <c r="F211" s="126"/>
      <c r="G211" s="125"/>
      <c r="H211" s="125"/>
      <c r="I211" s="125"/>
      <c r="J211" s="125"/>
      <c r="K211" s="126"/>
      <c r="L211" s="125"/>
      <c r="M211" s="126"/>
      <c r="N211" s="125"/>
      <c r="O211" s="125"/>
      <c r="P211" s="125"/>
      <c r="Q211" s="125"/>
      <c r="R211" s="167"/>
      <c r="S211" s="166"/>
      <c r="T211" s="167"/>
      <c r="U211" s="166"/>
      <c r="V211" s="166"/>
      <c r="W211" s="166"/>
      <c r="X211" s="166"/>
      <c r="Y211" s="126"/>
      <c r="Z211" s="125"/>
      <c r="AA211" s="126"/>
      <c r="AB211" s="125"/>
      <c r="AC211" s="125"/>
      <c r="AD211" s="125"/>
      <c r="AE211" s="125"/>
      <c r="AF211" s="128"/>
      <c r="AJ211" s="121"/>
    </row>
    <row r="212" spans="1:36" s="120" customFormat="1" ht="36.75" customHeight="1">
      <c r="A212" s="128">
        <v>2</v>
      </c>
      <c r="B212" s="128" t="s">
        <v>88</v>
      </c>
      <c r="C212" s="128"/>
      <c r="D212" s="129"/>
      <c r="E212" s="125"/>
      <c r="F212" s="126"/>
      <c r="G212" s="125">
        <f>G217</f>
        <v>0</v>
      </c>
      <c r="H212" s="125">
        <f>H217</f>
        <v>0</v>
      </c>
      <c r="I212" s="125">
        <f>I217</f>
        <v>0</v>
      </c>
      <c r="J212" s="125">
        <f>J217</f>
        <v>0</v>
      </c>
      <c r="K212" s="126"/>
      <c r="L212" s="125">
        <f aca="true" t="shared" si="99" ref="L212:Q212">L217</f>
        <v>0</v>
      </c>
      <c r="M212" s="125">
        <f t="shared" si="99"/>
        <v>0</v>
      </c>
      <c r="N212" s="125">
        <f t="shared" si="99"/>
        <v>0</v>
      </c>
      <c r="O212" s="125">
        <f t="shared" si="99"/>
        <v>3532</v>
      </c>
      <c r="P212" s="125">
        <f t="shared" si="99"/>
        <v>3532</v>
      </c>
      <c r="Q212" s="125">
        <f t="shared" si="99"/>
        <v>0</v>
      </c>
      <c r="R212" s="167"/>
      <c r="S212" s="166">
        <f aca="true" t="shared" si="100" ref="S212:X212">S217</f>
        <v>0</v>
      </c>
      <c r="T212" s="166">
        <f t="shared" si="100"/>
        <v>0</v>
      </c>
      <c r="U212" s="166">
        <f t="shared" si="100"/>
        <v>0</v>
      </c>
      <c r="V212" s="166">
        <f t="shared" si="100"/>
        <v>3532</v>
      </c>
      <c r="W212" s="166">
        <f t="shared" si="100"/>
        <v>3532</v>
      </c>
      <c r="X212" s="166">
        <f t="shared" si="100"/>
        <v>0</v>
      </c>
      <c r="Y212" s="126"/>
      <c r="Z212" s="125">
        <f aca="true" t="shared" si="101" ref="Z212:AE212">Z217</f>
        <v>0</v>
      </c>
      <c r="AA212" s="125">
        <f t="shared" si="101"/>
        <v>0</v>
      </c>
      <c r="AB212" s="125">
        <f t="shared" si="101"/>
        <v>0</v>
      </c>
      <c r="AC212" s="125">
        <f t="shared" si="101"/>
        <v>3532</v>
      </c>
      <c r="AD212" s="125">
        <f t="shared" si="101"/>
        <v>3532</v>
      </c>
      <c r="AE212" s="125">
        <f t="shared" si="101"/>
        <v>0</v>
      </c>
      <c r="AF212" s="128"/>
      <c r="AJ212" s="121"/>
    </row>
    <row r="213" spans="1:36" s="120" customFormat="1" ht="36.75" customHeight="1">
      <c r="A213" s="128" t="s">
        <v>77</v>
      </c>
      <c r="B213" s="129" t="s">
        <v>83</v>
      </c>
      <c r="C213" s="128"/>
      <c r="D213" s="129"/>
      <c r="E213" s="125"/>
      <c r="F213" s="126"/>
      <c r="G213" s="125"/>
      <c r="H213" s="125"/>
      <c r="I213" s="125"/>
      <c r="J213" s="125"/>
      <c r="K213" s="126"/>
      <c r="L213" s="125"/>
      <c r="M213" s="126"/>
      <c r="N213" s="125"/>
      <c r="O213" s="125"/>
      <c r="P213" s="125"/>
      <c r="Q213" s="125"/>
      <c r="R213" s="167"/>
      <c r="S213" s="166"/>
      <c r="T213" s="167"/>
      <c r="U213" s="166"/>
      <c r="V213" s="166"/>
      <c r="W213" s="166"/>
      <c r="X213" s="166"/>
      <c r="Y213" s="126"/>
      <c r="Z213" s="125"/>
      <c r="AA213" s="126"/>
      <c r="AB213" s="125"/>
      <c r="AC213" s="125"/>
      <c r="AD213" s="125"/>
      <c r="AE213" s="125"/>
      <c r="AF213" s="128"/>
      <c r="AJ213" s="121"/>
    </row>
    <row r="214" spans="1:36" s="120" customFormat="1" ht="36.75" customHeight="1">
      <c r="A214" s="128" t="s">
        <v>92</v>
      </c>
      <c r="B214" s="129" t="s">
        <v>84</v>
      </c>
      <c r="C214" s="128"/>
      <c r="D214" s="129"/>
      <c r="E214" s="125"/>
      <c r="F214" s="126"/>
      <c r="G214" s="125"/>
      <c r="H214" s="125"/>
      <c r="I214" s="125"/>
      <c r="J214" s="125"/>
      <c r="K214" s="126"/>
      <c r="L214" s="125"/>
      <c r="M214" s="126"/>
      <c r="N214" s="125"/>
      <c r="O214" s="125"/>
      <c r="P214" s="125"/>
      <c r="Q214" s="125"/>
      <c r="R214" s="167"/>
      <c r="S214" s="166"/>
      <c r="T214" s="167"/>
      <c r="U214" s="166"/>
      <c r="V214" s="166"/>
      <c r="W214" s="166"/>
      <c r="X214" s="166"/>
      <c r="Y214" s="126"/>
      <c r="Z214" s="125"/>
      <c r="AA214" s="126"/>
      <c r="AB214" s="125"/>
      <c r="AC214" s="125"/>
      <c r="AD214" s="125"/>
      <c r="AE214" s="125"/>
      <c r="AF214" s="128"/>
      <c r="AJ214" s="121"/>
    </row>
    <row r="215" spans="1:36" s="120" customFormat="1" ht="36.75" customHeight="1">
      <c r="A215" s="128" t="s">
        <v>93</v>
      </c>
      <c r="B215" s="129" t="s">
        <v>85</v>
      </c>
      <c r="C215" s="128"/>
      <c r="D215" s="129"/>
      <c r="E215" s="125"/>
      <c r="F215" s="126"/>
      <c r="G215" s="125"/>
      <c r="H215" s="125"/>
      <c r="I215" s="125"/>
      <c r="J215" s="125"/>
      <c r="K215" s="126"/>
      <c r="L215" s="125"/>
      <c r="M215" s="126"/>
      <c r="N215" s="125"/>
      <c r="O215" s="125"/>
      <c r="P215" s="125"/>
      <c r="Q215" s="125"/>
      <c r="R215" s="167"/>
      <c r="S215" s="166"/>
      <c r="T215" s="167"/>
      <c r="U215" s="166"/>
      <c r="V215" s="166"/>
      <c r="W215" s="166"/>
      <c r="X215" s="166"/>
      <c r="Y215" s="126"/>
      <c r="Z215" s="125"/>
      <c r="AA215" s="126"/>
      <c r="AB215" s="125"/>
      <c r="AC215" s="125"/>
      <c r="AD215" s="125"/>
      <c r="AE215" s="125"/>
      <c r="AF215" s="128"/>
      <c r="AJ215" s="121"/>
    </row>
    <row r="216" spans="1:36" s="120" customFormat="1" ht="36.75" customHeight="1">
      <c r="A216" s="128" t="s">
        <v>79</v>
      </c>
      <c r="B216" s="129" t="s">
        <v>86</v>
      </c>
      <c r="C216" s="128"/>
      <c r="D216" s="129"/>
      <c r="E216" s="125"/>
      <c r="F216" s="126"/>
      <c r="G216" s="125"/>
      <c r="H216" s="125">
        <f>H217+H262</f>
        <v>0</v>
      </c>
      <c r="I216" s="125">
        <f>I217+I262</f>
        <v>0</v>
      </c>
      <c r="J216" s="125">
        <f>J217+J262</f>
        <v>0</v>
      </c>
      <c r="K216" s="126"/>
      <c r="L216" s="125"/>
      <c r="M216" s="126"/>
      <c r="N216" s="125"/>
      <c r="O216" s="125">
        <f>O217+O262</f>
        <v>3532</v>
      </c>
      <c r="P216" s="125">
        <f>P217+P262</f>
        <v>3532</v>
      </c>
      <c r="Q216" s="125">
        <f>Q217+Q262</f>
        <v>0</v>
      </c>
      <c r="R216" s="167"/>
      <c r="S216" s="166"/>
      <c r="T216" s="167"/>
      <c r="U216" s="166"/>
      <c r="V216" s="166">
        <f>V217+V262</f>
        <v>3532</v>
      </c>
      <c r="W216" s="166">
        <f>W217+W262</f>
        <v>3532</v>
      </c>
      <c r="X216" s="166">
        <f>X217+X262</f>
        <v>0</v>
      </c>
      <c r="Y216" s="126"/>
      <c r="Z216" s="125"/>
      <c r="AA216" s="126"/>
      <c r="AB216" s="125"/>
      <c r="AC216" s="125">
        <f>AC217+AC262</f>
        <v>3532</v>
      </c>
      <c r="AD216" s="125">
        <f>AD217+AD262</f>
        <v>3532</v>
      </c>
      <c r="AE216" s="125">
        <f>AE217+AE262</f>
        <v>0</v>
      </c>
      <c r="AF216" s="128"/>
      <c r="AJ216" s="121"/>
    </row>
    <row r="217" spans="1:36" s="120" customFormat="1" ht="36.75" customHeight="1">
      <c r="A217" s="128" t="s">
        <v>89</v>
      </c>
      <c r="B217" s="129" t="s">
        <v>84</v>
      </c>
      <c r="C217" s="128"/>
      <c r="D217" s="129"/>
      <c r="E217" s="125"/>
      <c r="F217" s="126"/>
      <c r="G217" s="125">
        <v>0</v>
      </c>
      <c r="H217" s="125">
        <f>H219+H218</f>
        <v>0</v>
      </c>
      <c r="I217" s="125">
        <f>I219+I218</f>
        <v>0</v>
      </c>
      <c r="J217" s="125">
        <f>J219+J218</f>
        <v>0</v>
      </c>
      <c r="K217" s="126"/>
      <c r="L217" s="125">
        <v>0</v>
      </c>
      <c r="M217" s="126"/>
      <c r="N217" s="125"/>
      <c r="O217" s="125">
        <f>+O218</f>
        <v>3532</v>
      </c>
      <c r="P217" s="125">
        <f>+P218</f>
        <v>3532</v>
      </c>
      <c r="Q217" s="125">
        <f>Q219+Q218</f>
        <v>0</v>
      </c>
      <c r="R217" s="167"/>
      <c r="S217" s="166">
        <v>0</v>
      </c>
      <c r="T217" s="167"/>
      <c r="U217" s="166"/>
      <c r="V217" s="166">
        <f>+V218</f>
        <v>3532</v>
      </c>
      <c r="W217" s="166">
        <f>+W218</f>
        <v>3532</v>
      </c>
      <c r="X217" s="166">
        <f>X219+X218</f>
        <v>0</v>
      </c>
      <c r="Y217" s="126"/>
      <c r="Z217" s="125">
        <v>0</v>
      </c>
      <c r="AA217" s="126"/>
      <c r="AB217" s="125"/>
      <c r="AC217" s="125">
        <f>+AC218</f>
        <v>3532</v>
      </c>
      <c r="AD217" s="125">
        <f>+AD218</f>
        <v>3532</v>
      </c>
      <c r="AE217" s="125">
        <f>AE219+AE218</f>
        <v>0</v>
      </c>
      <c r="AF217" s="128"/>
      <c r="AJ217" s="121"/>
    </row>
    <row r="218" spans="1:36" s="120" customFormat="1" ht="68.25" customHeight="1">
      <c r="A218" s="133" t="s">
        <v>23</v>
      </c>
      <c r="B218" s="118" t="s">
        <v>320</v>
      </c>
      <c r="C218" s="119" t="s">
        <v>21</v>
      </c>
      <c r="D218" s="119" t="s">
        <v>25</v>
      </c>
      <c r="E218" s="119" t="s">
        <v>38</v>
      </c>
      <c r="F218" s="115"/>
      <c r="G218" s="116"/>
      <c r="H218" s="116"/>
      <c r="I218" s="116"/>
      <c r="J218" s="116"/>
      <c r="K218" s="115" t="s">
        <v>167</v>
      </c>
      <c r="L218" s="116">
        <v>5000</v>
      </c>
      <c r="M218" s="115"/>
      <c r="N218" s="116"/>
      <c r="O218" s="116">
        <v>3532</v>
      </c>
      <c r="P218" s="116">
        <v>3532</v>
      </c>
      <c r="Q218" s="116"/>
      <c r="R218" s="169" t="s">
        <v>167</v>
      </c>
      <c r="S218" s="170">
        <v>5000</v>
      </c>
      <c r="T218" s="169"/>
      <c r="U218" s="170"/>
      <c r="V218" s="170">
        <v>3532</v>
      </c>
      <c r="W218" s="170">
        <v>3532</v>
      </c>
      <c r="X218" s="170"/>
      <c r="Y218" s="115" t="s">
        <v>382</v>
      </c>
      <c r="Z218" s="116">
        <v>4996</v>
      </c>
      <c r="AA218" s="115"/>
      <c r="AB218" s="116"/>
      <c r="AC218" s="116">
        <v>3532</v>
      </c>
      <c r="AD218" s="116">
        <v>3532</v>
      </c>
      <c r="AE218" s="116"/>
      <c r="AF218" s="117"/>
      <c r="AJ218" s="121"/>
    </row>
    <row r="219" spans="1:36" s="120" customFormat="1" ht="54" customHeight="1">
      <c r="A219" s="128" t="s">
        <v>261</v>
      </c>
      <c r="B219" s="129" t="s">
        <v>232</v>
      </c>
      <c r="C219" s="129"/>
      <c r="D219" s="129"/>
      <c r="E219" s="129"/>
      <c r="F219" s="126"/>
      <c r="G219" s="125"/>
      <c r="H219" s="125">
        <f>H221</f>
        <v>0</v>
      </c>
      <c r="I219" s="125">
        <f>I221</f>
        <v>0</v>
      </c>
      <c r="J219" s="125">
        <f>J221</f>
        <v>0</v>
      </c>
      <c r="K219" s="126"/>
      <c r="L219" s="125"/>
      <c r="M219" s="126"/>
      <c r="N219" s="125"/>
      <c r="O219" s="125">
        <f>O221</f>
        <v>1004</v>
      </c>
      <c r="P219" s="125">
        <f>P221</f>
        <v>1004</v>
      </c>
      <c r="Q219" s="125">
        <f>Q221</f>
        <v>0</v>
      </c>
      <c r="R219" s="167"/>
      <c r="S219" s="166"/>
      <c r="T219" s="167"/>
      <c r="U219" s="166"/>
      <c r="V219" s="166">
        <f>V221</f>
        <v>2306</v>
      </c>
      <c r="W219" s="166">
        <f>W221</f>
        <v>2306</v>
      </c>
      <c r="X219" s="166">
        <f>X221</f>
        <v>0</v>
      </c>
      <c r="Y219" s="126"/>
      <c r="Z219" s="125"/>
      <c r="AA219" s="126"/>
      <c r="AB219" s="125"/>
      <c r="AC219" s="125">
        <f>AC221</f>
        <v>2306</v>
      </c>
      <c r="AD219" s="125">
        <f>AD221</f>
        <v>2306</v>
      </c>
      <c r="AE219" s="125">
        <f>AE221</f>
        <v>0</v>
      </c>
      <c r="AF219" s="128"/>
      <c r="AJ219" s="121"/>
    </row>
    <row r="220" spans="1:36" s="120" customFormat="1" ht="39" customHeight="1">
      <c r="A220" s="128">
        <v>1</v>
      </c>
      <c r="B220" s="128" t="s">
        <v>87</v>
      </c>
      <c r="C220" s="128"/>
      <c r="D220" s="129"/>
      <c r="E220" s="125"/>
      <c r="F220" s="126"/>
      <c r="G220" s="125"/>
      <c r="H220" s="125"/>
      <c r="I220" s="125"/>
      <c r="J220" s="125"/>
      <c r="K220" s="126"/>
      <c r="L220" s="125"/>
      <c r="M220" s="126"/>
      <c r="N220" s="125"/>
      <c r="O220" s="125"/>
      <c r="P220" s="125"/>
      <c r="Q220" s="125"/>
      <c r="R220" s="167"/>
      <c r="S220" s="166"/>
      <c r="T220" s="167"/>
      <c r="U220" s="166"/>
      <c r="V220" s="166"/>
      <c r="W220" s="166"/>
      <c r="X220" s="166"/>
      <c r="Y220" s="126"/>
      <c r="Z220" s="125"/>
      <c r="AA220" s="126"/>
      <c r="AB220" s="125"/>
      <c r="AC220" s="125"/>
      <c r="AD220" s="125"/>
      <c r="AE220" s="125"/>
      <c r="AF220" s="128"/>
      <c r="AJ220" s="121"/>
    </row>
    <row r="221" spans="1:36" s="120" customFormat="1" ht="39" customHeight="1">
      <c r="A221" s="128">
        <v>2</v>
      </c>
      <c r="B221" s="128" t="s">
        <v>88</v>
      </c>
      <c r="C221" s="128"/>
      <c r="D221" s="129"/>
      <c r="E221" s="125"/>
      <c r="F221" s="126"/>
      <c r="G221" s="125">
        <f>G226</f>
        <v>0</v>
      </c>
      <c r="H221" s="125">
        <f>H226</f>
        <v>0</v>
      </c>
      <c r="I221" s="125">
        <f>I226</f>
        <v>0</v>
      </c>
      <c r="J221" s="125">
        <f>J226</f>
        <v>0</v>
      </c>
      <c r="K221" s="126"/>
      <c r="L221" s="125">
        <f aca="true" t="shared" si="102" ref="L221:Q221">L226</f>
        <v>0</v>
      </c>
      <c r="M221" s="125">
        <f t="shared" si="102"/>
        <v>0</v>
      </c>
      <c r="N221" s="125">
        <f t="shared" si="102"/>
        <v>0</v>
      </c>
      <c r="O221" s="125">
        <f t="shared" si="102"/>
        <v>1004</v>
      </c>
      <c r="P221" s="125">
        <f t="shared" si="102"/>
        <v>1004</v>
      </c>
      <c r="Q221" s="125">
        <f t="shared" si="102"/>
        <v>0</v>
      </c>
      <c r="R221" s="167"/>
      <c r="S221" s="166">
        <f aca="true" t="shared" si="103" ref="S221:X221">S226</f>
        <v>0</v>
      </c>
      <c r="T221" s="166">
        <f t="shared" si="103"/>
        <v>0</v>
      </c>
      <c r="U221" s="166">
        <f t="shared" si="103"/>
        <v>0</v>
      </c>
      <c r="V221" s="166">
        <f t="shared" si="103"/>
        <v>2306</v>
      </c>
      <c r="W221" s="166">
        <f t="shared" si="103"/>
        <v>2306</v>
      </c>
      <c r="X221" s="166">
        <f t="shared" si="103"/>
        <v>0</v>
      </c>
      <c r="Y221" s="126"/>
      <c r="Z221" s="125">
        <f aca="true" t="shared" si="104" ref="Z221:AE221">Z226</f>
        <v>0</v>
      </c>
      <c r="AA221" s="125">
        <f t="shared" si="104"/>
        <v>0</v>
      </c>
      <c r="AB221" s="125">
        <f t="shared" si="104"/>
        <v>0</v>
      </c>
      <c r="AC221" s="125">
        <f t="shared" si="104"/>
        <v>2306</v>
      </c>
      <c r="AD221" s="125">
        <f t="shared" si="104"/>
        <v>2306</v>
      </c>
      <c r="AE221" s="125">
        <f t="shared" si="104"/>
        <v>0</v>
      </c>
      <c r="AF221" s="128"/>
      <c r="AJ221" s="121"/>
    </row>
    <row r="222" spans="1:36" s="120" customFormat="1" ht="39" customHeight="1">
      <c r="A222" s="128" t="s">
        <v>77</v>
      </c>
      <c r="B222" s="129" t="s">
        <v>83</v>
      </c>
      <c r="C222" s="128"/>
      <c r="D222" s="129"/>
      <c r="E222" s="125"/>
      <c r="F222" s="126"/>
      <c r="G222" s="125"/>
      <c r="H222" s="125"/>
      <c r="I222" s="125"/>
      <c r="J222" s="125"/>
      <c r="K222" s="126"/>
      <c r="L222" s="125"/>
      <c r="M222" s="126"/>
      <c r="N222" s="125"/>
      <c r="O222" s="125"/>
      <c r="P222" s="125"/>
      <c r="Q222" s="125"/>
      <c r="R222" s="167"/>
      <c r="S222" s="166"/>
      <c r="T222" s="167"/>
      <c r="U222" s="166"/>
      <c r="V222" s="166"/>
      <c r="W222" s="166"/>
      <c r="X222" s="166"/>
      <c r="Y222" s="126"/>
      <c r="Z222" s="125"/>
      <c r="AA222" s="126"/>
      <c r="AB222" s="125"/>
      <c r="AC222" s="125"/>
      <c r="AD222" s="125"/>
      <c r="AE222" s="125"/>
      <c r="AF222" s="128"/>
      <c r="AJ222" s="121"/>
    </row>
    <row r="223" spans="1:36" s="120" customFormat="1" ht="39" customHeight="1">
      <c r="A223" s="128" t="s">
        <v>92</v>
      </c>
      <c r="B223" s="129" t="s">
        <v>84</v>
      </c>
      <c r="C223" s="128"/>
      <c r="D223" s="129"/>
      <c r="E223" s="125"/>
      <c r="F223" s="126"/>
      <c r="G223" s="125"/>
      <c r="H223" s="125"/>
      <c r="I223" s="125"/>
      <c r="J223" s="125"/>
      <c r="K223" s="126"/>
      <c r="L223" s="125"/>
      <c r="M223" s="126"/>
      <c r="N223" s="125"/>
      <c r="O223" s="125"/>
      <c r="P223" s="125"/>
      <c r="Q223" s="125"/>
      <c r="R223" s="167"/>
      <c r="S223" s="166"/>
      <c r="T223" s="167"/>
      <c r="U223" s="166"/>
      <c r="V223" s="166"/>
      <c r="W223" s="166"/>
      <c r="X223" s="166"/>
      <c r="Y223" s="126"/>
      <c r="Z223" s="125"/>
      <c r="AA223" s="126"/>
      <c r="AB223" s="125"/>
      <c r="AC223" s="125"/>
      <c r="AD223" s="125"/>
      <c r="AE223" s="125"/>
      <c r="AF223" s="128"/>
      <c r="AJ223" s="121"/>
    </row>
    <row r="224" spans="1:36" s="120" customFormat="1" ht="39" customHeight="1">
      <c r="A224" s="128" t="s">
        <v>93</v>
      </c>
      <c r="B224" s="129" t="s">
        <v>85</v>
      </c>
      <c r="C224" s="128"/>
      <c r="D224" s="129"/>
      <c r="E224" s="125"/>
      <c r="F224" s="126"/>
      <c r="G224" s="125"/>
      <c r="H224" s="125"/>
      <c r="I224" s="125"/>
      <c r="J224" s="125"/>
      <c r="K224" s="126"/>
      <c r="L224" s="125"/>
      <c r="M224" s="126"/>
      <c r="N224" s="125"/>
      <c r="O224" s="125"/>
      <c r="P224" s="125"/>
      <c r="Q224" s="125"/>
      <c r="R224" s="167"/>
      <c r="S224" s="166"/>
      <c r="T224" s="167"/>
      <c r="U224" s="166"/>
      <c r="V224" s="166"/>
      <c r="W224" s="166"/>
      <c r="X224" s="166"/>
      <c r="Y224" s="126"/>
      <c r="Z224" s="125"/>
      <c r="AA224" s="126"/>
      <c r="AB224" s="125"/>
      <c r="AC224" s="125"/>
      <c r="AD224" s="125"/>
      <c r="AE224" s="125"/>
      <c r="AF224" s="128"/>
      <c r="AJ224" s="121"/>
    </row>
    <row r="225" spans="1:36" s="120" customFormat="1" ht="39" customHeight="1">
      <c r="A225" s="128" t="s">
        <v>79</v>
      </c>
      <c r="B225" s="129" t="s">
        <v>86</v>
      </c>
      <c r="C225" s="128"/>
      <c r="D225" s="129"/>
      <c r="E225" s="125"/>
      <c r="F225" s="126"/>
      <c r="G225" s="125"/>
      <c r="H225" s="125">
        <f>H226+H271</f>
        <v>0</v>
      </c>
      <c r="I225" s="125">
        <f>I226+I271</f>
        <v>0</v>
      </c>
      <c r="J225" s="125">
        <f>J226+J271</f>
        <v>0</v>
      </c>
      <c r="K225" s="126"/>
      <c r="L225" s="125"/>
      <c r="M225" s="126"/>
      <c r="N225" s="125"/>
      <c r="O225" s="125">
        <f>O226+O271</f>
        <v>1004</v>
      </c>
      <c r="P225" s="125">
        <f>P226+P271</f>
        <v>1004</v>
      </c>
      <c r="Q225" s="125">
        <f>Q226+Q271</f>
        <v>0</v>
      </c>
      <c r="R225" s="167"/>
      <c r="S225" s="166"/>
      <c r="T225" s="167"/>
      <c r="U225" s="166"/>
      <c r="V225" s="166">
        <f>V226+V271</f>
        <v>2306</v>
      </c>
      <c r="W225" s="166">
        <f>W226+W271</f>
        <v>2306</v>
      </c>
      <c r="X225" s="166">
        <f>X226+X271</f>
        <v>0</v>
      </c>
      <c r="Y225" s="126"/>
      <c r="Z225" s="125"/>
      <c r="AA225" s="126"/>
      <c r="AB225" s="125"/>
      <c r="AC225" s="125">
        <f>AC226+AC271</f>
        <v>2306</v>
      </c>
      <c r="AD225" s="125">
        <f>AD226+AD271</f>
        <v>2306</v>
      </c>
      <c r="AE225" s="125">
        <f>AE226+AE271</f>
        <v>0</v>
      </c>
      <c r="AF225" s="128"/>
      <c r="AJ225" s="121"/>
    </row>
    <row r="226" spans="1:36" s="120" customFormat="1" ht="39" customHeight="1">
      <c r="A226" s="128" t="s">
        <v>89</v>
      </c>
      <c r="B226" s="129" t="s">
        <v>84</v>
      </c>
      <c r="C226" s="128"/>
      <c r="D226" s="129"/>
      <c r="E226" s="125"/>
      <c r="F226" s="126"/>
      <c r="G226" s="125">
        <v>0</v>
      </c>
      <c r="H226" s="125">
        <f>H228+H227</f>
        <v>0</v>
      </c>
      <c r="I226" s="125">
        <f>I228+I227</f>
        <v>0</v>
      </c>
      <c r="J226" s="125">
        <f>J228+J227</f>
        <v>0</v>
      </c>
      <c r="K226" s="126"/>
      <c r="L226" s="125">
        <v>0</v>
      </c>
      <c r="M226" s="125">
        <f>M228+M227+M229</f>
        <v>0</v>
      </c>
      <c r="N226" s="125">
        <f>N228+N227+N229</f>
        <v>0</v>
      </c>
      <c r="O226" s="125">
        <f>O228+O227+O229</f>
        <v>1004</v>
      </c>
      <c r="P226" s="125">
        <f>P228+P227+P229</f>
        <v>1004</v>
      </c>
      <c r="Q226" s="125">
        <f>Q228+Q227+Q229</f>
        <v>0</v>
      </c>
      <c r="R226" s="166"/>
      <c r="S226" s="166"/>
      <c r="T226" s="166">
        <f>T228+T227+T229</f>
        <v>0</v>
      </c>
      <c r="U226" s="166">
        <f>U228+U227+U229</f>
        <v>0</v>
      </c>
      <c r="V226" s="166">
        <f>V228+V227+V229</f>
        <v>2306</v>
      </c>
      <c r="W226" s="166">
        <f>W228+W227+W229</f>
        <v>2306</v>
      </c>
      <c r="X226" s="166">
        <f>X228+X227</f>
        <v>0</v>
      </c>
      <c r="Y226" s="125"/>
      <c r="Z226" s="125"/>
      <c r="AA226" s="125">
        <f>AA228+AA227+AA229</f>
        <v>0</v>
      </c>
      <c r="AB226" s="125">
        <f>AB228+AB227+AB229</f>
        <v>0</v>
      </c>
      <c r="AC226" s="125">
        <f>AC228+AC227+AC229</f>
        <v>2306</v>
      </c>
      <c r="AD226" s="125">
        <f>AD228+AD227+AD229</f>
        <v>2306</v>
      </c>
      <c r="AE226" s="125">
        <f>AE228+AE227</f>
        <v>0</v>
      </c>
      <c r="AF226" s="128"/>
      <c r="AJ226" s="121"/>
    </row>
    <row r="227" spans="1:36" s="120" customFormat="1" ht="71.25" customHeight="1">
      <c r="A227" s="133" t="s">
        <v>23</v>
      </c>
      <c r="B227" s="118" t="s">
        <v>264</v>
      </c>
      <c r="C227" s="119" t="s">
        <v>21</v>
      </c>
      <c r="D227" s="119" t="s">
        <v>25</v>
      </c>
      <c r="E227" s="115" t="s">
        <v>37</v>
      </c>
      <c r="F227" s="115"/>
      <c r="G227" s="116"/>
      <c r="H227" s="116"/>
      <c r="I227" s="116"/>
      <c r="J227" s="116"/>
      <c r="K227" s="115" t="s">
        <v>258</v>
      </c>
      <c r="L227" s="116">
        <v>500</v>
      </c>
      <c r="M227" s="115"/>
      <c r="N227" s="116"/>
      <c r="O227" s="116">
        <v>500</v>
      </c>
      <c r="P227" s="116">
        <v>500</v>
      </c>
      <c r="Q227" s="116"/>
      <c r="R227" s="169" t="s">
        <v>258</v>
      </c>
      <c r="S227" s="170">
        <v>500</v>
      </c>
      <c r="T227" s="169"/>
      <c r="U227" s="170"/>
      <c r="V227" s="170">
        <v>500</v>
      </c>
      <c r="W227" s="170">
        <v>500</v>
      </c>
      <c r="X227" s="170"/>
      <c r="Y227" s="115" t="s">
        <v>258</v>
      </c>
      <c r="Z227" s="116">
        <v>500</v>
      </c>
      <c r="AA227" s="115"/>
      <c r="AB227" s="116"/>
      <c r="AC227" s="116">
        <v>500</v>
      </c>
      <c r="AD227" s="116">
        <v>500</v>
      </c>
      <c r="AE227" s="116"/>
      <c r="AF227" s="150"/>
      <c r="AJ227" s="121"/>
    </row>
    <row r="228" spans="1:36" s="120" customFormat="1" ht="61.5" customHeight="1">
      <c r="A228" s="117" t="s">
        <v>23</v>
      </c>
      <c r="B228" s="118" t="s">
        <v>315</v>
      </c>
      <c r="C228" s="119" t="s">
        <v>21</v>
      </c>
      <c r="D228" s="119" t="s">
        <v>25</v>
      </c>
      <c r="E228" s="115" t="s">
        <v>37</v>
      </c>
      <c r="F228" s="115"/>
      <c r="G228" s="116"/>
      <c r="H228" s="116"/>
      <c r="I228" s="116">
        <f>H228</f>
        <v>0</v>
      </c>
      <c r="J228" s="116"/>
      <c r="K228" s="115" t="s">
        <v>259</v>
      </c>
      <c r="L228" s="116">
        <v>503.505903</v>
      </c>
      <c r="M228" s="115"/>
      <c r="N228" s="116"/>
      <c r="O228" s="116">
        <v>504</v>
      </c>
      <c r="P228" s="116">
        <v>504</v>
      </c>
      <c r="Q228" s="116"/>
      <c r="R228" s="169" t="s">
        <v>259</v>
      </c>
      <c r="S228" s="170">
        <v>503.505903</v>
      </c>
      <c r="T228" s="169"/>
      <c r="U228" s="170"/>
      <c r="V228" s="170">
        <f>W228</f>
        <v>450</v>
      </c>
      <c r="W228" s="170">
        <f>450</f>
        <v>450</v>
      </c>
      <c r="X228" s="170"/>
      <c r="Y228" s="115" t="s">
        <v>259</v>
      </c>
      <c r="Z228" s="116">
        <v>503.505903</v>
      </c>
      <c r="AA228" s="115"/>
      <c r="AB228" s="116"/>
      <c r="AC228" s="116">
        <f>AD228</f>
        <v>450</v>
      </c>
      <c r="AD228" s="116">
        <f>450</f>
        <v>450</v>
      </c>
      <c r="AE228" s="116"/>
      <c r="AF228" s="117"/>
      <c r="AJ228" s="121"/>
    </row>
    <row r="229" spans="1:36" s="120" customFormat="1" ht="61.5" customHeight="1">
      <c r="A229" s="117" t="s">
        <v>23</v>
      </c>
      <c r="B229" s="118" t="s">
        <v>326</v>
      </c>
      <c r="C229" s="119" t="s">
        <v>21</v>
      </c>
      <c r="D229" s="119" t="s">
        <v>43</v>
      </c>
      <c r="E229" s="115" t="s">
        <v>38</v>
      </c>
      <c r="F229" s="115"/>
      <c r="G229" s="116"/>
      <c r="H229" s="116"/>
      <c r="I229" s="116"/>
      <c r="J229" s="116"/>
      <c r="K229" s="115"/>
      <c r="L229" s="116"/>
      <c r="M229" s="115"/>
      <c r="N229" s="116"/>
      <c r="O229" s="116"/>
      <c r="P229" s="116"/>
      <c r="Q229" s="116"/>
      <c r="R229" s="169"/>
      <c r="S229" s="170">
        <v>1356</v>
      </c>
      <c r="T229" s="169"/>
      <c r="U229" s="170"/>
      <c r="V229" s="170">
        <v>1356</v>
      </c>
      <c r="W229" s="170">
        <v>1356</v>
      </c>
      <c r="X229" s="170"/>
      <c r="Y229" s="115" t="s">
        <v>383</v>
      </c>
      <c r="Z229" s="116">
        <v>1356</v>
      </c>
      <c r="AA229" s="115"/>
      <c r="AB229" s="116"/>
      <c r="AC229" s="116">
        <v>1356</v>
      </c>
      <c r="AD229" s="116">
        <v>1356</v>
      </c>
      <c r="AE229" s="116"/>
      <c r="AF229" s="117"/>
      <c r="AJ229" s="121"/>
    </row>
    <row r="230" spans="1:36" s="120" customFormat="1" ht="54" customHeight="1">
      <c r="A230" s="128" t="s">
        <v>230</v>
      </c>
      <c r="B230" s="129" t="s">
        <v>305</v>
      </c>
      <c r="C230" s="129"/>
      <c r="D230" s="129"/>
      <c r="E230" s="129"/>
      <c r="F230" s="126"/>
      <c r="G230" s="125"/>
      <c r="H230" s="125">
        <f>H232</f>
        <v>0</v>
      </c>
      <c r="I230" s="125">
        <f>I232</f>
        <v>0</v>
      </c>
      <c r="J230" s="125">
        <f>J232</f>
        <v>0</v>
      </c>
      <c r="K230" s="126"/>
      <c r="L230" s="125"/>
      <c r="M230" s="126"/>
      <c r="N230" s="125"/>
      <c r="O230" s="125">
        <f>O232</f>
        <v>1088</v>
      </c>
      <c r="P230" s="125">
        <f>P232</f>
        <v>1088</v>
      </c>
      <c r="Q230" s="125">
        <f>Q232</f>
        <v>0</v>
      </c>
      <c r="R230" s="167"/>
      <c r="S230" s="166"/>
      <c r="T230" s="167"/>
      <c r="U230" s="166"/>
      <c r="V230" s="166">
        <f>V232</f>
        <v>1088</v>
      </c>
      <c r="W230" s="166">
        <f>W232</f>
        <v>1088</v>
      </c>
      <c r="X230" s="166">
        <f>X232</f>
        <v>0</v>
      </c>
      <c r="Y230" s="126"/>
      <c r="Z230" s="125"/>
      <c r="AA230" s="126"/>
      <c r="AB230" s="125"/>
      <c r="AC230" s="125">
        <f>AC232</f>
        <v>1088</v>
      </c>
      <c r="AD230" s="125">
        <f>AD232</f>
        <v>1088</v>
      </c>
      <c r="AE230" s="125">
        <f>AE232</f>
        <v>0</v>
      </c>
      <c r="AF230" s="128"/>
      <c r="AJ230" s="121"/>
    </row>
    <row r="231" spans="1:36" s="120" customFormat="1" ht="33.75" customHeight="1">
      <c r="A231" s="128">
        <v>1</v>
      </c>
      <c r="B231" s="128" t="s">
        <v>87</v>
      </c>
      <c r="C231" s="128"/>
      <c r="D231" s="129"/>
      <c r="E231" s="125"/>
      <c r="F231" s="126"/>
      <c r="G231" s="125"/>
      <c r="H231" s="125"/>
      <c r="I231" s="125"/>
      <c r="J231" s="125"/>
      <c r="K231" s="126"/>
      <c r="L231" s="125"/>
      <c r="M231" s="126"/>
      <c r="N231" s="125"/>
      <c r="O231" s="125"/>
      <c r="P231" s="125"/>
      <c r="Q231" s="125"/>
      <c r="R231" s="167"/>
      <c r="S231" s="166"/>
      <c r="T231" s="167"/>
      <c r="U231" s="166"/>
      <c r="V231" s="166"/>
      <c r="W231" s="166"/>
      <c r="X231" s="166"/>
      <c r="Y231" s="126"/>
      <c r="Z231" s="125"/>
      <c r="AA231" s="126"/>
      <c r="AB231" s="125"/>
      <c r="AC231" s="125"/>
      <c r="AD231" s="125"/>
      <c r="AE231" s="125"/>
      <c r="AF231" s="128"/>
      <c r="AJ231" s="121"/>
    </row>
    <row r="232" spans="1:36" s="120" customFormat="1" ht="33.75" customHeight="1">
      <c r="A232" s="128">
        <v>2</v>
      </c>
      <c r="B232" s="128" t="s">
        <v>88</v>
      </c>
      <c r="C232" s="128"/>
      <c r="D232" s="129"/>
      <c r="E232" s="125"/>
      <c r="F232" s="126"/>
      <c r="G232" s="125">
        <f>G237</f>
        <v>0</v>
      </c>
      <c r="H232" s="125">
        <f>H237</f>
        <v>0</v>
      </c>
      <c r="I232" s="125">
        <f>I237</f>
        <v>0</v>
      </c>
      <c r="J232" s="125">
        <f>J237</f>
        <v>0</v>
      </c>
      <c r="K232" s="126"/>
      <c r="L232" s="125">
        <f aca="true" t="shared" si="105" ref="L232:Q232">L237</f>
        <v>0</v>
      </c>
      <c r="M232" s="125">
        <f t="shared" si="105"/>
        <v>0</v>
      </c>
      <c r="N232" s="125">
        <f t="shared" si="105"/>
        <v>0</v>
      </c>
      <c r="O232" s="125">
        <f t="shared" si="105"/>
        <v>1088</v>
      </c>
      <c r="P232" s="125">
        <f t="shared" si="105"/>
        <v>1088</v>
      </c>
      <c r="Q232" s="125">
        <f t="shared" si="105"/>
        <v>0</v>
      </c>
      <c r="R232" s="167"/>
      <c r="S232" s="166">
        <f aca="true" t="shared" si="106" ref="S232:X232">S237</f>
        <v>0</v>
      </c>
      <c r="T232" s="166">
        <f t="shared" si="106"/>
        <v>0</v>
      </c>
      <c r="U232" s="166">
        <f t="shared" si="106"/>
        <v>0</v>
      </c>
      <c r="V232" s="166">
        <f t="shared" si="106"/>
        <v>1088</v>
      </c>
      <c r="W232" s="166">
        <f t="shared" si="106"/>
        <v>1088</v>
      </c>
      <c r="X232" s="166">
        <f t="shared" si="106"/>
        <v>0</v>
      </c>
      <c r="Y232" s="126"/>
      <c r="Z232" s="125">
        <f aca="true" t="shared" si="107" ref="Z232:AE232">Z237</f>
        <v>0</v>
      </c>
      <c r="AA232" s="125">
        <f t="shared" si="107"/>
        <v>0</v>
      </c>
      <c r="AB232" s="125">
        <f t="shared" si="107"/>
        <v>0</v>
      </c>
      <c r="AC232" s="125">
        <f t="shared" si="107"/>
        <v>1088</v>
      </c>
      <c r="AD232" s="125">
        <f t="shared" si="107"/>
        <v>1088</v>
      </c>
      <c r="AE232" s="125">
        <f t="shared" si="107"/>
        <v>0</v>
      </c>
      <c r="AF232" s="128"/>
      <c r="AJ232" s="121"/>
    </row>
    <row r="233" spans="1:36" s="120" customFormat="1" ht="33">
      <c r="A233" s="128" t="s">
        <v>77</v>
      </c>
      <c r="B233" s="129" t="s">
        <v>83</v>
      </c>
      <c r="C233" s="128"/>
      <c r="D233" s="129"/>
      <c r="E233" s="125"/>
      <c r="F233" s="126"/>
      <c r="G233" s="125"/>
      <c r="H233" s="125"/>
      <c r="I233" s="125"/>
      <c r="J233" s="125"/>
      <c r="K233" s="126"/>
      <c r="L233" s="125"/>
      <c r="M233" s="126"/>
      <c r="N233" s="125"/>
      <c r="O233" s="125"/>
      <c r="P233" s="125"/>
      <c r="Q233" s="125"/>
      <c r="R233" s="167"/>
      <c r="S233" s="166"/>
      <c r="T233" s="167"/>
      <c r="U233" s="166"/>
      <c r="V233" s="166"/>
      <c r="W233" s="166"/>
      <c r="X233" s="166"/>
      <c r="Y233" s="126"/>
      <c r="Z233" s="125"/>
      <c r="AA233" s="126"/>
      <c r="AB233" s="125"/>
      <c r="AC233" s="125"/>
      <c r="AD233" s="125"/>
      <c r="AE233" s="125"/>
      <c r="AF233" s="128"/>
      <c r="AJ233" s="121"/>
    </row>
    <row r="234" spans="1:36" s="120" customFormat="1" ht="40.5" customHeight="1">
      <c r="A234" s="128" t="s">
        <v>92</v>
      </c>
      <c r="B234" s="129" t="s">
        <v>84</v>
      </c>
      <c r="C234" s="128"/>
      <c r="D234" s="129"/>
      <c r="E234" s="125"/>
      <c r="F234" s="126"/>
      <c r="G234" s="125"/>
      <c r="H234" s="125"/>
      <c r="I234" s="125"/>
      <c r="J234" s="125"/>
      <c r="K234" s="126"/>
      <c r="L234" s="125"/>
      <c r="M234" s="126"/>
      <c r="N234" s="125"/>
      <c r="O234" s="125"/>
      <c r="P234" s="125"/>
      <c r="Q234" s="125"/>
      <c r="R234" s="167"/>
      <c r="S234" s="166"/>
      <c r="T234" s="167"/>
      <c r="U234" s="166"/>
      <c r="V234" s="166"/>
      <c r="W234" s="166"/>
      <c r="X234" s="166"/>
      <c r="Y234" s="126"/>
      <c r="Z234" s="125"/>
      <c r="AA234" s="126"/>
      <c r="AB234" s="125"/>
      <c r="AC234" s="125"/>
      <c r="AD234" s="125"/>
      <c r="AE234" s="125"/>
      <c r="AF234" s="128"/>
      <c r="AJ234" s="121"/>
    </row>
    <row r="235" spans="1:36" s="120" customFormat="1" ht="40.5" customHeight="1">
      <c r="A235" s="128" t="s">
        <v>93</v>
      </c>
      <c r="B235" s="129" t="s">
        <v>85</v>
      </c>
      <c r="C235" s="128"/>
      <c r="D235" s="129"/>
      <c r="E235" s="125"/>
      <c r="F235" s="126"/>
      <c r="G235" s="125"/>
      <c r="H235" s="125"/>
      <c r="I235" s="125"/>
      <c r="J235" s="125"/>
      <c r="K235" s="126"/>
      <c r="L235" s="125"/>
      <c r="M235" s="126"/>
      <c r="N235" s="125"/>
      <c r="O235" s="125"/>
      <c r="P235" s="125"/>
      <c r="Q235" s="125"/>
      <c r="R235" s="167"/>
      <c r="S235" s="166"/>
      <c r="T235" s="167"/>
      <c r="U235" s="166"/>
      <c r="V235" s="166"/>
      <c r="W235" s="166"/>
      <c r="X235" s="166"/>
      <c r="Y235" s="126"/>
      <c r="Z235" s="125"/>
      <c r="AA235" s="126"/>
      <c r="AB235" s="125"/>
      <c r="AC235" s="125"/>
      <c r="AD235" s="125"/>
      <c r="AE235" s="125"/>
      <c r="AF235" s="128"/>
      <c r="AJ235" s="121"/>
    </row>
    <row r="236" spans="1:36" s="120" customFormat="1" ht="40.5" customHeight="1">
      <c r="A236" s="128" t="s">
        <v>79</v>
      </c>
      <c r="B236" s="129" t="s">
        <v>86</v>
      </c>
      <c r="C236" s="128"/>
      <c r="D236" s="129"/>
      <c r="E236" s="125"/>
      <c r="F236" s="126"/>
      <c r="G236" s="125"/>
      <c r="H236" s="125">
        <f>H237+H281</f>
        <v>0</v>
      </c>
      <c r="I236" s="125">
        <f>I237+I281</f>
        <v>0</v>
      </c>
      <c r="J236" s="125">
        <f>J237+J281</f>
        <v>0</v>
      </c>
      <c r="K236" s="126"/>
      <c r="L236" s="125"/>
      <c r="M236" s="126"/>
      <c r="N236" s="125"/>
      <c r="O236" s="125">
        <f>O237+O281</f>
        <v>1088</v>
      </c>
      <c r="P236" s="125">
        <f>P237+P281</f>
        <v>1088</v>
      </c>
      <c r="Q236" s="125">
        <f>Q237+Q281</f>
        <v>0</v>
      </c>
      <c r="R236" s="167"/>
      <c r="S236" s="166"/>
      <c r="T236" s="167"/>
      <c r="U236" s="166"/>
      <c r="V236" s="166">
        <f>V237+V281</f>
        <v>1088</v>
      </c>
      <c r="W236" s="166">
        <f>W237+W281</f>
        <v>1088</v>
      </c>
      <c r="X236" s="166">
        <f>X237+X281</f>
        <v>0</v>
      </c>
      <c r="Y236" s="126"/>
      <c r="Z236" s="125"/>
      <c r="AA236" s="126"/>
      <c r="AB236" s="125"/>
      <c r="AC236" s="125">
        <f>AC237+AC281</f>
        <v>1088</v>
      </c>
      <c r="AD236" s="125">
        <f>AD237+AD281</f>
        <v>1088</v>
      </c>
      <c r="AE236" s="125">
        <f>AE237+AE281</f>
        <v>0</v>
      </c>
      <c r="AF236" s="128"/>
      <c r="AJ236" s="121"/>
    </row>
    <row r="237" spans="1:36" s="120" customFormat="1" ht="40.5" customHeight="1">
      <c r="A237" s="128" t="s">
        <v>89</v>
      </c>
      <c r="B237" s="129" t="s">
        <v>84</v>
      </c>
      <c r="C237" s="128"/>
      <c r="D237" s="129"/>
      <c r="E237" s="125"/>
      <c r="F237" s="126"/>
      <c r="G237" s="125">
        <v>0</v>
      </c>
      <c r="H237" s="125">
        <f>H239</f>
        <v>0</v>
      </c>
      <c r="I237" s="125">
        <f>I239</f>
        <v>0</v>
      </c>
      <c r="J237" s="125">
        <f>J239</f>
        <v>0</v>
      </c>
      <c r="K237" s="126"/>
      <c r="L237" s="125">
        <v>0</v>
      </c>
      <c r="M237" s="126"/>
      <c r="N237" s="125"/>
      <c r="O237" s="125">
        <f>O239+O238</f>
        <v>1088</v>
      </c>
      <c r="P237" s="125">
        <f>P239+P238</f>
        <v>1088</v>
      </c>
      <c r="Q237" s="125">
        <f>Q239</f>
        <v>0</v>
      </c>
      <c r="R237" s="167"/>
      <c r="S237" s="166">
        <v>0</v>
      </c>
      <c r="T237" s="167"/>
      <c r="U237" s="166"/>
      <c r="V237" s="166">
        <f>V239+V238</f>
        <v>1088</v>
      </c>
      <c r="W237" s="166">
        <f>W239+W238</f>
        <v>1088</v>
      </c>
      <c r="X237" s="166">
        <f>X239</f>
        <v>0</v>
      </c>
      <c r="Y237" s="126"/>
      <c r="Z237" s="125">
        <v>0</v>
      </c>
      <c r="AA237" s="126"/>
      <c r="AB237" s="125"/>
      <c r="AC237" s="125">
        <f>AC239+AC238</f>
        <v>1088</v>
      </c>
      <c r="AD237" s="125">
        <f>AD239+AD238</f>
        <v>1088</v>
      </c>
      <c r="AE237" s="125">
        <f>AE239</f>
        <v>0</v>
      </c>
      <c r="AF237" s="128"/>
      <c r="AJ237" s="121"/>
    </row>
    <row r="238" spans="1:36" s="120" customFormat="1" ht="69" customHeight="1">
      <c r="A238" s="151" t="s">
        <v>23</v>
      </c>
      <c r="B238" s="118" t="s">
        <v>307</v>
      </c>
      <c r="C238" s="119" t="s">
        <v>31</v>
      </c>
      <c r="D238" s="119" t="s">
        <v>308</v>
      </c>
      <c r="E238" s="118"/>
      <c r="F238" s="118"/>
      <c r="G238" s="118"/>
      <c r="H238" s="118"/>
      <c r="I238" s="118"/>
      <c r="J238" s="118"/>
      <c r="K238" s="119" t="s">
        <v>309</v>
      </c>
      <c r="L238" s="152">
        <v>3765</v>
      </c>
      <c r="M238" s="138"/>
      <c r="N238" s="138"/>
      <c r="O238" s="138">
        <v>71</v>
      </c>
      <c r="P238" s="138">
        <v>71</v>
      </c>
      <c r="Q238" s="138"/>
      <c r="R238" s="171" t="s">
        <v>309</v>
      </c>
      <c r="S238" s="177">
        <v>3765</v>
      </c>
      <c r="T238" s="178"/>
      <c r="U238" s="178"/>
      <c r="V238" s="178">
        <v>71</v>
      </c>
      <c r="W238" s="178">
        <v>71</v>
      </c>
      <c r="X238" s="178"/>
      <c r="Y238" s="119" t="s">
        <v>309</v>
      </c>
      <c r="Z238" s="152">
        <v>3765</v>
      </c>
      <c r="AA238" s="138"/>
      <c r="AB238" s="138"/>
      <c r="AC238" s="138">
        <v>71</v>
      </c>
      <c r="AD238" s="138">
        <v>71</v>
      </c>
      <c r="AE238" s="138"/>
      <c r="AF238" s="119"/>
      <c r="AJ238" s="121"/>
    </row>
    <row r="239" spans="1:36" s="120" customFormat="1" ht="75.75" customHeight="1">
      <c r="A239" s="151" t="s">
        <v>23</v>
      </c>
      <c r="B239" s="118" t="s">
        <v>306</v>
      </c>
      <c r="C239" s="119" t="s">
        <v>25</v>
      </c>
      <c r="D239" s="119" t="s">
        <v>25</v>
      </c>
      <c r="E239" s="119" t="s">
        <v>37</v>
      </c>
      <c r="F239" s="115"/>
      <c r="G239" s="116"/>
      <c r="H239" s="116"/>
      <c r="I239" s="116"/>
      <c r="J239" s="116"/>
      <c r="K239" s="115" t="s">
        <v>245</v>
      </c>
      <c r="L239" s="116">
        <v>378</v>
      </c>
      <c r="M239" s="115"/>
      <c r="N239" s="116"/>
      <c r="O239" s="116">
        <f>P239</f>
        <v>1017</v>
      </c>
      <c r="P239" s="116">
        <v>1017</v>
      </c>
      <c r="Q239" s="116"/>
      <c r="R239" s="169" t="s">
        <v>245</v>
      </c>
      <c r="S239" s="170">
        <v>378</v>
      </c>
      <c r="T239" s="169"/>
      <c r="U239" s="170"/>
      <c r="V239" s="170">
        <f>W239</f>
        <v>1017</v>
      </c>
      <c r="W239" s="170">
        <v>1017</v>
      </c>
      <c r="X239" s="170"/>
      <c r="Y239" s="95" t="s">
        <v>245</v>
      </c>
      <c r="Z239" s="96">
        <v>1188</v>
      </c>
      <c r="AA239" s="115"/>
      <c r="AB239" s="116"/>
      <c r="AC239" s="116">
        <f>AD239</f>
        <v>1017</v>
      </c>
      <c r="AD239" s="116">
        <v>1017</v>
      </c>
      <c r="AE239" s="116"/>
      <c r="AF239" s="135"/>
      <c r="AJ239" s="121"/>
    </row>
    <row r="240" spans="1:36" s="120" customFormat="1" ht="39.75" customHeight="1">
      <c r="A240" s="128" t="s">
        <v>330</v>
      </c>
      <c r="B240" s="129" t="s">
        <v>327</v>
      </c>
      <c r="C240" s="129"/>
      <c r="D240" s="129"/>
      <c r="E240" s="129"/>
      <c r="F240" s="126"/>
      <c r="G240" s="125"/>
      <c r="H240" s="125" t="e">
        <f>H242</f>
        <v>#REF!</v>
      </c>
      <c r="I240" s="125" t="e">
        <f>I242</f>
        <v>#REF!</v>
      </c>
      <c r="J240" s="125" t="e">
        <f>J242</f>
        <v>#REF!</v>
      </c>
      <c r="K240" s="126"/>
      <c r="L240" s="125"/>
      <c r="M240" s="126"/>
      <c r="N240" s="125"/>
      <c r="O240" s="125">
        <f>O242</f>
        <v>0</v>
      </c>
      <c r="P240" s="125">
        <f>P242</f>
        <v>0</v>
      </c>
      <c r="Q240" s="125">
        <f>Q242</f>
        <v>0</v>
      </c>
      <c r="R240" s="167"/>
      <c r="S240" s="166"/>
      <c r="T240" s="167"/>
      <c r="U240" s="166"/>
      <c r="V240" s="166">
        <f>V242</f>
        <v>9200</v>
      </c>
      <c r="W240" s="166">
        <f>W242</f>
        <v>9200</v>
      </c>
      <c r="X240" s="166">
        <f>X242</f>
        <v>0</v>
      </c>
      <c r="Y240" s="126"/>
      <c r="Z240" s="125"/>
      <c r="AA240" s="126"/>
      <c r="AB240" s="125"/>
      <c r="AC240" s="125">
        <f>AC242</f>
        <v>7830</v>
      </c>
      <c r="AD240" s="125">
        <f>AD242</f>
        <v>7830</v>
      </c>
      <c r="AE240" s="125">
        <f>AE242</f>
        <v>0</v>
      </c>
      <c r="AF240" s="128"/>
      <c r="AJ240" s="121"/>
    </row>
    <row r="241" spans="1:36" s="120" customFormat="1" ht="30" customHeight="1">
      <c r="A241" s="128">
        <v>1</v>
      </c>
      <c r="B241" s="128" t="s">
        <v>87</v>
      </c>
      <c r="C241" s="128"/>
      <c r="D241" s="129"/>
      <c r="E241" s="125"/>
      <c r="F241" s="126"/>
      <c r="G241" s="125"/>
      <c r="H241" s="125"/>
      <c r="I241" s="125"/>
      <c r="J241" s="125"/>
      <c r="K241" s="126"/>
      <c r="L241" s="125"/>
      <c r="M241" s="126"/>
      <c r="N241" s="125"/>
      <c r="O241" s="125"/>
      <c r="P241" s="125"/>
      <c r="Q241" s="125"/>
      <c r="R241" s="167"/>
      <c r="S241" s="166"/>
      <c r="T241" s="167"/>
      <c r="U241" s="166"/>
      <c r="V241" s="166"/>
      <c r="W241" s="166"/>
      <c r="X241" s="166"/>
      <c r="Y241" s="126"/>
      <c r="Z241" s="125"/>
      <c r="AA241" s="126"/>
      <c r="AB241" s="125"/>
      <c r="AC241" s="125"/>
      <c r="AD241" s="125"/>
      <c r="AE241" s="125"/>
      <c r="AF241" s="128"/>
      <c r="AJ241" s="121"/>
    </row>
    <row r="242" spans="1:36" s="120" customFormat="1" ht="30" customHeight="1">
      <c r="A242" s="128">
        <v>2</v>
      </c>
      <c r="B242" s="128" t="s">
        <v>88</v>
      </c>
      <c r="C242" s="128"/>
      <c r="D242" s="129"/>
      <c r="E242" s="125"/>
      <c r="F242" s="126"/>
      <c r="G242" s="125">
        <f>G247</f>
        <v>0</v>
      </c>
      <c r="H242" s="125" t="e">
        <f>H247</f>
        <v>#REF!</v>
      </c>
      <c r="I242" s="125" t="e">
        <f>I247</f>
        <v>#REF!</v>
      </c>
      <c r="J242" s="125" t="e">
        <f>J247</f>
        <v>#REF!</v>
      </c>
      <c r="K242" s="126"/>
      <c r="L242" s="125">
        <f aca="true" t="shared" si="108" ref="L242:Q242">L247</f>
        <v>0</v>
      </c>
      <c r="M242" s="125">
        <f t="shared" si="108"/>
        <v>0</v>
      </c>
      <c r="N242" s="125">
        <f t="shared" si="108"/>
        <v>0</v>
      </c>
      <c r="O242" s="125">
        <f t="shared" si="108"/>
        <v>0</v>
      </c>
      <c r="P242" s="125">
        <f t="shared" si="108"/>
        <v>0</v>
      </c>
      <c r="Q242" s="125">
        <f t="shared" si="108"/>
        <v>0</v>
      </c>
      <c r="R242" s="167"/>
      <c r="S242" s="166">
        <f aca="true" t="shared" si="109" ref="S242:X242">S247</f>
        <v>0</v>
      </c>
      <c r="T242" s="166">
        <f t="shared" si="109"/>
        <v>0</v>
      </c>
      <c r="U242" s="166">
        <f t="shared" si="109"/>
        <v>0</v>
      </c>
      <c r="V242" s="166">
        <f t="shared" si="109"/>
        <v>9200</v>
      </c>
      <c r="W242" s="166">
        <f t="shared" si="109"/>
        <v>9200</v>
      </c>
      <c r="X242" s="166">
        <f t="shared" si="109"/>
        <v>0</v>
      </c>
      <c r="Y242" s="126"/>
      <c r="Z242" s="125">
        <f aca="true" t="shared" si="110" ref="Z242:AE242">Z247</f>
        <v>0</v>
      </c>
      <c r="AA242" s="125">
        <f t="shared" si="110"/>
        <v>0</v>
      </c>
      <c r="AB242" s="125">
        <f t="shared" si="110"/>
        <v>0</v>
      </c>
      <c r="AC242" s="125">
        <f t="shared" si="110"/>
        <v>7830</v>
      </c>
      <c r="AD242" s="125">
        <f t="shared" si="110"/>
        <v>7830</v>
      </c>
      <c r="AE242" s="125">
        <f t="shared" si="110"/>
        <v>0</v>
      </c>
      <c r="AF242" s="128"/>
      <c r="AJ242" s="121"/>
    </row>
    <row r="243" spans="1:36" s="120" customFormat="1" ht="51" customHeight="1">
      <c r="A243" s="128" t="s">
        <v>77</v>
      </c>
      <c r="B243" s="129" t="s">
        <v>83</v>
      </c>
      <c r="C243" s="128"/>
      <c r="D243" s="129"/>
      <c r="E243" s="125"/>
      <c r="F243" s="126"/>
      <c r="G243" s="125"/>
      <c r="H243" s="125"/>
      <c r="I243" s="125"/>
      <c r="J243" s="125"/>
      <c r="K243" s="126"/>
      <c r="L243" s="125"/>
      <c r="M243" s="126"/>
      <c r="N243" s="125"/>
      <c r="O243" s="125"/>
      <c r="P243" s="125"/>
      <c r="Q243" s="125"/>
      <c r="R243" s="167"/>
      <c r="S243" s="166"/>
      <c r="T243" s="167"/>
      <c r="U243" s="166"/>
      <c r="V243" s="166"/>
      <c r="W243" s="166"/>
      <c r="X243" s="166"/>
      <c r="Y243" s="126"/>
      <c r="Z243" s="125"/>
      <c r="AA243" s="126"/>
      <c r="AB243" s="125"/>
      <c r="AC243" s="125"/>
      <c r="AD243" s="125"/>
      <c r="AE243" s="125"/>
      <c r="AF243" s="128"/>
      <c r="AJ243" s="121"/>
    </row>
    <row r="244" spans="1:36" s="120" customFormat="1" ht="39" customHeight="1">
      <c r="A244" s="128" t="s">
        <v>92</v>
      </c>
      <c r="B244" s="129" t="s">
        <v>84</v>
      </c>
      <c r="C244" s="128"/>
      <c r="D244" s="129"/>
      <c r="E244" s="125"/>
      <c r="F244" s="126"/>
      <c r="G244" s="125"/>
      <c r="H244" s="125"/>
      <c r="I244" s="125"/>
      <c r="J244" s="125"/>
      <c r="K244" s="126"/>
      <c r="L244" s="125"/>
      <c r="M244" s="126"/>
      <c r="N244" s="125"/>
      <c r="O244" s="125"/>
      <c r="P244" s="125"/>
      <c r="Q244" s="125"/>
      <c r="R244" s="167"/>
      <c r="S244" s="166"/>
      <c r="T244" s="167"/>
      <c r="U244" s="166"/>
      <c r="V244" s="166"/>
      <c r="W244" s="166"/>
      <c r="X244" s="166"/>
      <c r="Y244" s="126"/>
      <c r="Z244" s="125"/>
      <c r="AA244" s="126"/>
      <c r="AB244" s="125"/>
      <c r="AC244" s="125"/>
      <c r="AD244" s="125"/>
      <c r="AE244" s="125"/>
      <c r="AF244" s="128"/>
      <c r="AJ244" s="121"/>
    </row>
    <row r="245" spans="1:36" s="120" customFormat="1" ht="39" customHeight="1">
      <c r="A245" s="128" t="s">
        <v>93</v>
      </c>
      <c r="B245" s="129" t="s">
        <v>85</v>
      </c>
      <c r="C245" s="128"/>
      <c r="D245" s="129"/>
      <c r="E245" s="125"/>
      <c r="F245" s="126"/>
      <c r="G245" s="125"/>
      <c r="H245" s="125"/>
      <c r="I245" s="125"/>
      <c r="J245" s="125"/>
      <c r="K245" s="126"/>
      <c r="L245" s="125"/>
      <c r="M245" s="126"/>
      <c r="N245" s="125"/>
      <c r="O245" s="125"/>
      <c r="P245" s="125"/>
      <c r="Q245" s="125"/>
      <c r="R245" s="167"/>
      <c r="S245" s="166"/>
      <c r="T245" s="167"/>
      <c r="U245" s="166"/>
      <c r="V245" s="166"/>
      <c r="W245" s="166"/>
      <c r="X245" s="166"/>
      <c r="Y245" s="126"/>
      <c r="Z245" s="125"/>
      <c r="AA245" s="126"/>
      <c r="AB245" s="125"/>
      <c r="AC245" s="125"/>
      <c r="AD245" s="125"/>
      <c r="AE245" s="125"/>
      <c r="AF245" s="128"/>
      <c r="AJ245" s="121"/>
    </row>
    <row r="246" spans="1:36" s="120" customFormat="1" ht="39" customHeight="1">
      <c r="A246" s="128" t="s">
        <v>79</v>
      </c>
      <c r="B246" s="129" t="s">
        <v>86</v>
      </c>
      <c r="C246" s="128"/>
      <c r="D246" s="129"/>
      <c r="E246" s="125"/>
      <c r="F246" s="126"/>
      <c r="G246" s="125"/>
      <c r="H246" s="125" t="e">
        <f>H247+H291</f>
        <v>#REF!</v>
      </c>
      <c r="I246" s="125" t="e">
        <f>I247+I291</f>
        <v>#REF!</v>
      </c>
      <c r="J246" s="125" t="e">
        <f>J247+J291</f>
        <v>#REF!</v>
      </c>
      <c r="K246" s="126"/>
      <c r="L246" s="125"/>
      <c r="M246" s="126"/>
      <c r="N246" s="125"/>
      <c r="O246" s="125">
        <f>O247+O291</f>
        <v>0</v>
      </c>
      <c r="P246" s="125">
        <f>P247+P291</f>
        <v>0</v>
      </c>
      <c r="Q246" s="125">
        <f>Q247+Q291</f>
        <v>0</v>
      </c>
      <c r="R246" s="167"/>
      <c r="S246" s="166"/>
      <c r="T246" s="167"/>
      <c r="U246" s="166"/>
      <c r="V246" s="166">
        <f>V247+V291</f>
        <v>9200</v>
      </c>
      <c r="W246" s="166">
        <f>W247+W291</f>
        <v>9200</v>
      </c>
      <c r="X246" s="166">
        <f>X247+X291</f>
        <v>0</v>
      </c>
      <c r="Y246" s="126"/>
      <c r="Z246" s="125"/>
      <c r="AA246" s="126"/>
      <c r="AB246" s="125"/>
      <c r="AC246" s="125">
        <f>AC247+AC291</f>
        <v>7830</v>
      </c>
      <c r="AD246" s="125">
        <f>AD247+AD291</f>
        <v>7830</v>
      </c>
      <c r="AE246" s="125">
        <f>AE247+AE291</f>
        <v>0</v>
      </c>
      <c r="AF246" s="128"/>
      <c r="AJ246" s="121"/>
    </row>
    <row r="247" spans="1:36" s="120" customFormat="1" ht="39" customHeight="1">
      <c r="A247" s="128" t="s">
        <v>89</v>
      </c>
      <c r="B247" s="129" t="s">
        <v>84</v>
      </c>
      <c r="C247" s="128"/>
      <c r="D247" s="129"/>
      <c r="E247" s="125"/>
      <c r="F247" s="126"/>
      <c r="G247" s="125">
        <v>0</v>
      </c>
      <c r="H247" s="125" t="e">
        <f>#REF!</f>
        <v>#REF!</v>
      </c>
      <c r="I247" s="125" t="e">
        <f>#REF!</f>
        <v>#REF!</v>
      </c>
      <c r="J247" s="125" t="e">
        <f>#REF!</f>
        <v>#REF!</v>
      </c>
      <c r="K247" s="126"/>
      <c r="L247" s="125">
        <f aca="true" t="shared" si="111" ref="L247:U247">L248</f>
        <v>0</v>
      </c>
      <c r="M247" s="125">
        <f t="shared" si="111"/>
        <v>0</v>
      </c>
      <c r="N247" s="125">
        <f t="shared" si="111"/>
        <v>0</v>
      </c>
      <c r="O247" s="125">
        <f t="shared" si="111"/>
        <v>0</v>
      </c>
      <c r="P247" s="125">
        <f t="shared" si="111"/>
        <v>0</v>
      </c>
      <c r="Q247" s="125">
        <f t="shared" si="111"/>
        <v>0</v>
      </c>
      <c r="R247" s="166">
        <f t="shared" si="111"/>
        <v>0</v>
      </c>
      <c r="S247" s="166">
        <v>0</v>
      </c>
      <c r="T247" s="166">
        <f t="shared" si="111"/>
        <v>0</v>
      </c>
      <c r="U247" s="166">
        <f t="shared" si="111"/>
        <v>0</v>
      </c>
      <c r="V247" s="166">
        <f>SUM(V248:V251)</f>
        <v>9200</v>
      </c>
      <c r="W247" s="166">
        <f aca="true" t="shared" si="112" ref="W247:AD247">SUM(W248:W251)</f>
        <v>9200</v>
      </c>
      <c r="X247" s="166">
        <f t="shared" si="112"/>
        <v>0</v>
      </c>
      <c r="Y247" s="125">
        <f t="shared" si="112"/>
        <v>0</v>
      </c>
      <c r="Z247" s="125"/>
      <c r="AA247" s="125">
        <f t="shared" si="112"/>
        <v>0</v>
      </c>
      <c r="AB247" s="125">
        <f t="shared" si="112"/>
        <v>0</v>
      </c>
      <c r="AC247" s="125">
        <f t="shared" si="112"/>
        <v>7830</v>
      </c>
      <c r="AD247" s="125">
        <f t="shared" si="112"/>
        <v>7830</v>
      </c>
      <c r="AE247" s="125">
        <f>AE248</f>
        <v>0</v>
      </c>
      <c r="AF247" s="128"/>
      <c r="AJ247" s="121"/>
    </row>
    <row r="248" spans="1:36" s="120" customFormat="1" ht="69" customHeight="1">
      <c r="A248" s="151" t="s">
        <v>23</v>
      </c>
      <c r="B248" s="118" t="s">
        <v>328</v>
      </c>
      <c r="C248" s="119" t="s">
        <v>21</v>
      </c>
      <c r="D248" s="119" t="s">
        <v>43</v>
      </c>
      <c r="E248" s="115" t="s">
        <v>38</v>
      </c>
      <c r="F248" s="118"/>
      <c r="G248" s="118"/>
      <c r="H248" s="118"/>
      <c r="I248" s="118"/>
      <c r="J248" s="118"/>
      <c r="K248" s="119"/>
      <c r="L248" s="152"/>
      <c r="M248" s="138"/>
      <c r="N248" s="138"/>
      <c r="O248" s="138"/>
      <c r="P248" s="138"/>
      <c r="Q248" s="138"/>
      <c r="R248" s="171"/>
      <c r="S248" s="177">
        <v>3200</v>
      </c>
      <c r="T248" s="178"/>
      <c r="U248" s="178"/>
      <c r="V248" s="177">
        <v>3200</v>
      </c>
      <c r="W248" s="177">
        <v>3200</v>
      </c>
      <c r="X248" s="178"/>
      <c r="Y248" s="115" t="s">
        <v>384</v>
      </c>
      <c r="Z248" s="152">
        <v>3200</v>
      </c>
      <c r="AA248" s="138"/>
      <c r="AB248" s="138"/>
      <c r="AC248" s="152">
        <v>3030</v>
      </c>
      <c r="AD248" s="152">
        <v>3030</v>
      </c>
      <c r="AE248" s="138"/>
      <c r="AF248" s="119" t="s">
        <v>356</v>
      </c>
      <c r="AJ248" s="121"/>
    </row>
    <row r="249" spans="1:36" s="120" customFormat="1" ht="56.25" customHeight="1">
      <c r="A249" s="153" t="s">
        <v>23</v>
      </c>
      <c r="B249" s="118" t="s">
        <v>357</v>
      </c>
      <c r="C249" s="119" t="s">
        <v>21</v>
      </c>
      <c r="D249" s="119" t="s">
        <v>25</v>
      </c>
      <c r="E249" s="115">
        <v>2019</v>
      </c>
      <c r="F249" s="118"/>
      <c r="G249" s="118"/>
      <c r="H249" s="118"/>
      <c r="I249" s="118"/>
      <c r="J249" s="118"/>
      <c r="K249" s="119"/>
      <c r="L249" s="152"/>
      <c r="M249" s="138"/>
      <c r="N249" s="138"/>
      <c r="O249" s="138"/>
      <c r="P249" s="138"/>
      <c r="Q249" s="138"/>
      <c r="R249" s="171"/>
      <c r="S249" s="177">
        <v>2000</v>
      </c>
      <c r="T249" s="178"/>
      <c r="U249" s="178"/>
      <c r="V249" s="177">
        <v>2000</v>
      </c>
      <c r="W249" s="177">
        <v>2000</v>
      </c>
      <c r="X249" s="178"/>
      <c r="Y249" s="115" t="s">
        <v>385</v>
      </c>
      <c r="Z249" s="152">
        <v>970</v>
      </c>
      <c r="AA249" s="138"/>
      <c r="AB249" s="138"/>
      <c r="AC249" s="152">
        <v>970</v>
      </c>
      <c r="AD249" s="152">
        <v>970</v>
      </c>
      <c r="AE249" s="138"/>
      <c r="AF249" s="119" t="s">
        <v>329</v>
      </c>
      <c r="AJ249" s="121"/>
    </row>
    <row r="250" spans="1:36" s="120" customFormat="1" ht="69" customHeight="1">
      <c r="A250" s="153" t="s">
        <v>23</v>
      </c>
      <c r="B250" s="118" t="s">
        <v>346</v>
      </c>
      <c r="C250" s="119" t="s">
        <v>21</v>
      </c>
      <c r="D250" s="119" t="s">
        <v>31</v>
      </c>
      <c r="E250" s="115" t="s">
        <v>140</v>
      </c>
      <c r="F250" s="118"/>
      <c r="G250" s="118"/>
      <c r="H250" s="118"/>
      <c r="I250" s="118"/>
      <c r="J250" s="118"/>
      <c r="K250" s="119"/>
      <c r="L250" s="152"/>
      <c r="M250" s="138"/>
      <c r="N250" s="138"/>
      <c r="O250" s="138"/>
      <c r="P250" s="138"/>
      <c r="Q250" s="138"/>
      <c r="R250" s="171"/>
      <c r="S250" s="177">
        <v>4000</v>
      </c>
      <c r="T250" s="178"/>
      <c r="U250" s="178"/>
      <c r="V250" s="177">
        <v>4000</v>
      </c>
      <c r="W250" s="177">
        <v>4000</v>
      </c>
      <c r="X250" s="178"/>
      <c r="Y250" s="115" t="s">
        <v>354</v>
      </c>
      <c r="Z250" s="152">
        <v>2800</v>
      </c>
      <c r="AA250" s="138"/>
      <c r="AB250" s="138"/>
      <c r="AC250" s="152">
        <v>2800</v>
      </c>
      <c r="AD250" s="152">
        <v>2800</v>
      </c>
      <c r="AE250" s="138"/>
      <c r="AF250" s="119" t="s">
        <v>355</v>
      </c>
      <c r="AJ250" s="121"/>
    </row>
    <row r="251" spans="1:36" s="120" customFormat="1" ht="69" customHeight="1">
      <c r="A251" s="153" t="s">
        <v>23</v>
      </c>
      <c r="B251" s="118" t="s">
        <v>368</v>
      </c>
      <c r="C251" s="119" t="s">
        <v>21</v>
      </c>
      <c r="D251" s="119" t="s">
        <v>25</v>
      </c>
      <c r="E251" s="115" t="s">
        <v>140</v>
      </c>
      <c r="F251" s="118"/>
      <c r="G251" s="118"/>
      <c r="H251" s="118"/>
      <c r="I251" s="118"/>
      <c r="J251" s="118"/>
      <c r="K251" s="119"/>
      <c r="L251" s="152"/>
      <c r="M251" s="138"/>
      <c r="N251" s="138"/>
      <c r="O251" s="138"/>
      <c r="P251" s="138"/>
      <c r="Q251" s="138"/>
      <c r="R251" s="171"/>
      <c r="S251" s="177"/>
      <c r="T251" s="178"/>
      <c r="U251" s="178"/>
      <c r="V251" s="177"/>
      <c r="W251" s="177"/>
      <c r="X251" s="178"/>
      <c r="Y251" s="119"/>
      <c r="Z251" s="152">
        <v>1030</v>
      </c>
      <c r="AA251" s="138"/>
      <c r="AB251" s="138"/>
      <c r="AC251" s="152">
        <v>1030</v>
      </c>
      <c r="AD251" s="152">
        <v>1030</v>
      </c>
      <c r="AE251" s="138"/>
      <c r="AF251" s="119" t="s">
        <v>263</v>
      </c>
      <c r="AJ251" s="121"/>
    </row>
    <row r="252" spans="1:32" ht="40.5" customHeight="1">
      <c r="A252" s="128" t="s">
        <v>111</v>
      </c>
      <c r="B252" s="129" t="s">
        <v>112</v>
      </c>
      <c r="C252" s="128"/>
      <c r="D252" s="129"/>
      <c r="E252" s="125"/>
      <c r="F252" s="126"/>
      <c r="G252" s="125"/>
      <c r="H252" s="125">
        <v>4474</v>
      </c>
      <c r="I252" s="125">
        <v>4474</v>
      </c>
      <c r="J252" s="125"/>
      <c r="K252" s="126"/>
      <c r="L252" s="125"/>
      <c r="M252" s="126"/>
      <c r="N252" s="125"/>
      <c r="O252" s="125">
        <f>P252</f>
        <v>5095.7</v>
      </c>
      <c r="P252" s="125">
        <v>5095.7</v>
      </c>
      <c r="Q252" s="125"/>
      <c r="R252" s="167"/>
      <c r="S252" s="166"/>
      <c r="T252" s="167"/>
      <c r="U252" s="166"/>
      <c r="V252" s="166">
        <f>W252</f>
        <v>3761.5555555555557</v>
      </c>
      <c r="W252" s="166">
        <f>(W164)/0.9/10</f>
        <v>3761.5555555555557</v>
      </c>
      <c r="X252" s="166"/>
      <c r="Y252" s="126"/>
      <c r="Z252" s="125"/>
      <c r="AA252" s="126"/>
      <c r="AB252" s="125"/>
      <c r="AC252" s="125">
        <f>AD252</f>
        <v>3761.5555555555557</v>
      </c>
      <c r="AD252" s="125">
        <f>(AD164)/0.9/10</f>
        <v>3761.5555555555557</v>
      </c>
      <c r="AE252" s="125"/>
      <c r="AF252" s="128"/>
    </row>
  </sheetData>
  <sheetProtection/>
  <mergeCells count="57">
    <mergeCell ref="AF178:AF180"/>
    <mergeCell ref="Y6:AE6"/>
    <mergeCell ref="Y7:Z7"/>
    <mergeCell ref="AA7:AB7"/>
    <mergeCell ref="AC7:AE7"/>
    <mergeCell ref="Y8:Y9"/>
    <mergeCell ref="Z8:Z9"/>
    <mergeCell ref="AA8:AA9"/>
    <mergeCell ref="AB8:AB9"/>
    <mergeCell ref="AC8:AC9"/>
    <mergeCell ref="AF110:AF119"/>
    <mergeCell ref="A1:AF1"/>
    <mergeCell ref="R6:X6"/>
    <mergeCell ref="AF6:AF9"/>
    <mergeCell ref="R7:S7"/>
    <mergeCell ref="T7:U7"/>
    <mergeCell ref="V7:X7"/>
    <mergeCell ref="F6:J6"/>
    <mergeCell ref="T8:T9"/>
    <mergeCell ref="A181:B181"/>
    <mergeCell ref="A2:AF2"/>
    <mergeCell ref="K7:L7"/>
    <mergeCell ref="O8:O9"/>
    <mergeCell ref="A3:AF3"/>
    <mergeCell ref="Q5:AF5"/>
    <mergeCell ref="AD8:AE8"/>
    <mergeCell ref="F8:F9"/>
    <mergeCell ref="S8:S9"/>
    <mergeCell ref="AF85:AF94"/>
    <mergeCell ref="C6:C9"/>
    <mergeCell ref="H8:H9"/>
    <mergeCell ref="I8:J8"/>
    <mergeCell ref="H7:J7"/>
    <mergeCell ref="K6:Q6"/>
    <mergeCell ref="M8:M9"/>
    <mergeCell ref="K8:K9"/>
    <mergeCell ref="L8:L9"/>
    <mergeCell ref="AG126:AJ126"/>
    <mergeCell ref="AH27:AL27"/>
    <mergeCell ref="AH30:AL30"/>
    <mergeCell ref="M7:N7"/>
    <mergeCell ref="N8:N9"/>
    <mergeCell ref="V8:V9"/>
    <mergeCell ref="W8:X8"/>
    <mergeCell ref="R8:R9"/>
    <mergeCell ref="O7:Q7"/>
    <mergeCell ref="U8:U9"/>
    <mergeCell ref="A149:B149"/>
    <mergeCell ref="A164:B164"/>
    <mergeCell ref="A4:AF4"/>
    <mergeCell ref="P8:Q8"/>
    <mergeCell ref="D6:D9"/>
    <mergeCell ref="F7:G7"/>
    <mergeCell ref="E6:E9"/>
    <mergeCell ref="G8:G9"/>
    <mergeCell ref="A6:A9"/>
    <mergeCell ref="B6:B9"/>
  </mergeCells>
  <printOptions/>
  <pageMargins left="0.2362204724409449" right="0.15748031496062992" top="0.4724409448818898" bottom="0.3937007874015748" header="0.2755905511811024" footer="0.1968503937007874"/>
  <pageSetup horizontalDpi="600" verticalDpi="600" orientation="landscape" paperSize="9" scale="50" r:id="rId1"/>
  <headerFooter>
    <oddFooter>&amp;L&amp;10KH ĐTC trung hạn GĐ 2016-2020 (Điều chỉnh)&amp;R&amp;10Trang &amp;P</oddFooter>
  </headerFooter>
</worksheet>
</file>

<file path=xl/worksheets/sheet4.xml><?xml version="1.0" encoding="utf-8"?>
<worksheet xmlns="http://schemas.openxmlformats.org/spreadsheetml/2006/main" xmlns:r="http://schemas.openxmlformats.org/officeDocument/2006/relationships">
  <sheetPr>
    <tabColor rgb="FF00B0F0"/>
  </sheetPr>
  <dimension ref="A1:AP19"/>
  <sheetViews>
    <sheetView tabSelected="1" zoomScale="60" zoomScaleNormal="60" zoomScaleSheetLayoutView="70" zoomScalePageLayoutView="0" workbookViewId="0" topLeftCell="A1">
      <pane ySplit="9" topLeftCell="A10" activePane="bottomLeft" state="frozen"/>
      <selection pane="topLeft" activeCell="A1" sqref="A1"/>
      <selection pane="bottomLeft" activeCell="A11" sqref="A11:IV11"/>
    </sheetView>
  </sheetViews>
  <sheetFormatPr defaultColWidth="8.88671875" defaultRowHeight="16.5"/>
  <cols>
    <col min="1" max="1" width="5.3359375" style="62" customWidth="1"/>
    <col min="2" max="2" width="43.5546875" style="66" customWidth="1"/>
    <col min="3" max="3" width="10.5546875" style="62" customWidth="1"/>
    <col min="4" max="4" width="9.6640625" style="62" customWidth="1"/>
    <col min="5" max="5" width="7.6640625" style="64" customWidth="1"/>
    <col min="6" max="6" width="11.77734375" style="164" hidden="1" customWidth="1"/>
    <col min="7" max="7" width="9.5546875" style="164" hidden="1" customWidth="1"/>
    <col min="8" max="9" width="9.4453125" style="164" hidden="1" customWidth="1"/>
    <col min="10" max="10" width="8.99609375" style="164" hidden="1" customWidth="1"/>
    <col min="11" max="11" width="10.5546875" style="164" hidden="1" customWidth="1"/>
    <col min="12" max="12" width="8.99609375" style="164" hidden="1" customWidth="1"/>
    <col min="13" max="13" width="8.88671875" style="164" hidden="1" customWidth="1"/>
    <col min="14" max="16" width="11.5546875" style="164" hidden="1" customWidth="1"/>
    <col min="17" max="17" width="7.6640625" style="164" hidden="1" customWidth="1"/>
    <col min="18" max="18" width="11.21484375" style="63" customWidth="1"/>
    <col min="19" max="19" width="10.77734375" style="63" customWidth="1"/>
    <col min="20" max="21" width="9.4453125" style="63" hidden="1" customWidth="1"/>
    <col min="22" max="22" width="8.99609375" style="63" bestFit="1" customWidth="1"/>
    <col min="23" max="23" width="10.5546875" style="63" customWidth="1"/>
    <col min="24" max="24" width="8.99609375" style="63" hidden="1" customWidth="1"/>
    <col min="25" max="25" width="8.88671875" style="63" hidden="1" customWidth="1"/>
    <col min="26" max="26" width="11.5546875" style="63" hidden="1" customWidth="1"/>
    <col min="27" max="28" width="11.5546875" style="63" customWidth="1"/>
    <col min="29" max="29" width="7.6640625" style="63" customWidth="1"/>
    <col min="30" max="30" width="11.21484375" style="63" customWidth="1"/>
    <col min="31" max="31" width="10.77734375" style="63" customWidth="1"/>
    <col min="32" max="33" width="9.4453125" style="63" hidden="1" customWidth="1"/>
    <col min="34" max="34" width="8.99609375" style="63" bestFit="1" customWidth="1"/>
    <col min="35" max="35" width="10.5546875" style="63" customWidth="1"/>
    <col min="36" max="36" width="8.99609375" style="63" hidden="1" customWidth="1"/>
    <col min="37" max="37" width="8.88671875" style="63" hidden="1" customWidth="1"/>
    <col min="38" max="38" width="11.5546875" style="63" hidden="1" customWidth="1"/>
    <col min="39" max="40" width="11.5546875" style="63" customWidth="1"/>
    <col min="41" max="41" width="7.6640625" style="63" customWidth="1"/>
    <col min="42" max="42" width="14.4453125" style="66" customWidth="1"/>
    <col min="43" max="16384" width="8.88671875" style="62" customWidth="1"/>
  </cols>
  <sheetData>
    <row r="1" spans="1:42" ht="18.75">
      <c r="A1" s="87"/>
      <c r="B1" s="88"/>
      <c r="C1" s="87"/>
      <c r="D1" s="87"/>
      <c r="E1" s="89"/>
      <c r="F1" s="157"/>
      <c r="G1" s="157"/>
      <c r="H1" s="157"/>
      <c r="I1" s="157"/>
      <c r="J1" s="157"/>
      <c r="K1" s="157"/>
      <c r="L1" s="236" t="s">
        <v>290</v>
      </c>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row>
    <row r="2" spans="1:42" ht="18.75">
      <c r="A2" s="237" t="s">
        <v>199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row>
    <row r="3" spans="1:42" ht="18.75" hidden="1">
      <c r="A3" s="230" t="s">
        <v>323</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row>
    <row r="4" spans="1:42" ht="18.75">
      <c r="A4" s="230" t="s">
        <v>335</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row>
    <row r="5" spans="1:42" ht="27.75" customHeight="1">
      <c r="A5" s="107"/>
      <c r="B5" s="90"/>
      <c r="C5" s="107"/>
      <c r="D5" s="107"/>
      <c r="E5" s="89"/>
      <c r="F5" s="158"/>
      <c r="G5" s="158"/>
      <c r="H5" s="158"/>
      <c r="I5" s="158"/>
      <c r="J5" s="158"/>
      <c r="K5" s="158"/>
      <c r="L5" s="238" t="s">
        <v>268</v>
      </c>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row>
    <row r="6" spans="1:42" ht="75" customHeight="1">
      <c r="A6" s="233" t="s">
        <v>0</v>
      </c>
      <c r="B6" s="233" t="s">
        <v>7</v>
      </c>
      <c r="C6" s="233" t="s">
        <v>8</v>
      </c>
      <c r="D6" s="235" t="s">
        <v>9</v>
      </c>
      <c r="E6" s="228" t="s">
        <v>10</v>
      </c>
      <c r="F6" s="232" t="s">
        <v>324</v>
      </c>
      <c r="G6" s="232"/>
      <c r="H6" s="232"/>
      <c r="I6" s="232"/>
      <c r="J6" s="232"/>
      <c r="K6" s="232"/>
      <c r="L6" s="232"/>
      <c r="M6" s="232"/>
      <c r="N6" s="232"/>
      <c r="O6" s="232"/>
      <c r="P6" s="232"/>
      <c r="Q6" s="232"/>
      <c r="R6" s="228" t="s">
        <v>366</v>
      </c>
      <c r="S6" s="228"/>
      <c r="T6" s="228"/>
      <c r="U6" s="228"/>
      <c r="V6" s="228"/>
      <c r="W6" s="228"/>
      <c r="X6" s="228"/>
      <c r="Y6" s="228"/>
      <c r="Z6" s="228"/>
      <c r="AA6" s="228"/>
      <c r="AB6" s="228"/>
      <c r="AC6" s="228"/>
      <c r="AD6" s="228" t="s">
        <v>352</v>
      </c>
      <c r="AE6" s="228"/>
      <c r="AF6" s="228"/>
      <c r="AG6" s="228"/>
      <c r="AH6" s="228"/>
      <c r="AI6" s="228"/>
      <c r="AJ6" s="228"/>
      <c r="AK6" s="228"/>
      <c r="AL6" s="228"/>
      <c r="AM6" s="228"/>
      <c r="AN6" s="228"/>
      <c r="AO6" s="228"/>
      <c r="AP6" s="233" t="s">
        <v>19</v>
      </c>
    </row>
    <row r="7" spans="1:42" ht="76.5" customHeight="1">
      <c r="A7" s="233"/>
      <c r="B7" s="233"/>
      <c r="C7" s="233"/>
      <c r="D7" s="235"/>
      <c r="E7" s="228"/>
      <c r="F7" s="232" t="s">
        <v>151</v>
      </c>
      <c r="G7" s="232"/>
      <c r="H7" s="232" t="s">
        <v>155</v>
      </c>
      <c r="I7" s="232"/>
      <c r="J7" s="232" t="s">
        <v>14</v>
      </c>
      <c r="K7" s="232"/>
      <c r="L7" s="232" t="s">
        <v>265</v>
      </c>
      <c r="M7" s="232"/>
      <c r="N7" s="232"/>
      <c r="O7" s="232" t="s">
        <v>282</v>
      </c>
      <c r="P7" s="232"/>
      <c r="Q7" s="232"/>
      <c r="R7" s="228" t="s">
        <v>151</v>
      </c>
      <c r="S7" s="228"/>
      <c r="T7" s="228" t="s">
        <v>155</v>
      </c>
      <c r="U7" s="228"/>
      <c r="V7" s="228" t="s">
        <v>14</v>
      </c>
      <c r="W7" s="228"/>
      <c r="X7" s="228" t="s">
        <v>265</v>
      </c>
      <c r="Y7" s="228"/>
      <c r="Z7" s="228"/>
      <c r="AA7" s="228" t="s">
        <v>282</v>
      </c>
      <c r="AB7" s="228"/>
      <c r="AC7" s="228"/>
      <c r="AD7" s="228" t="s">
        <v>151</v>
      </c>
      <c r="AE7" s="228"/>
      <c r="AF7" s="228" t="s">
        <v>155</v>
      </c>
      <c r="AG7" s="228"/>
      <c r="AH7" s="228" t="s">
        <v>14</v>
      </c>
      <c r="AI7" s="228"/>
      <c r="AJ7" s="228" t="s">
        <v>265</v>
      </c>
      <c r="AK7" s="228"/>
      <c r="AL7" s="228"/>
      <c r="AM7" s="228" t="s">
        <v>282</v>
      </c>
      <c r="AN7" s="228"/>
      <c r="AO7" s="228"/>
      <c r="AP7" s="233"/>
    </row>
    <row r="8" spans="1:42" ht="27.75" customHeight="1">
      <c r="A8" s="233"/>
      <c r="B8" s="233"/>
      <c r="C8" s="233"/>
      <c r="D8" s="235"/>
      <c r="E8" s="228"/>
      <c r="F8" s="232" t="s">
        <v>11</v>
      </c>
      <c r="G8" s="232" t="s">
        <v>12</v>
      </c>
      <c r="H8" s="232" t="s">
        <v>11</v>
      </c>
      <c r="I8" s="232" t="s">
        <v>12</v>
      </c>
      <c r="J8" s="232" t="s">
        <v>15</v>
      </c>
      <c r="K8" s="232" t="s">
        <v>13</v>
      </c>
      <c r="L8" s="232" t="s">
        <v>16</v>
      </c>
      <c r="M8" s="234" t="s">
        <v>13</v>
      </c>
      <c r="N8" s="234"/>
      <c r="O8" s="232" t="s">
        <v>16</v>
      </c>
      <c r="P8" s="234" t="s">
        <v>13</v>
      </c>
      <c r="Q8" s="234"/>
      <c r="R8" s="228" t="s">
        <v>11</v>
      </c>
      <c r="S8" s="228" t="s">
        <v>12</v>
      </c>
      <c r="T8" s="228" t="s">
        <v>11</v>
      </c>
      <c r="U8" s="228" t="s">
        <v>12</v>
      </c>
      <c r="V8" s="228" t="s">
        <v>15</v>
      </c>
      <c r="W8" s="228" t="s">
        <v>13</v>
      </c>
      <c r="X8" s="228" t="s">
        <v>16</v>
      </c>
      <c r="Y8" s="229" t="s">
        <v>13</v>
      </c>
      <c r="Z8" s="229"/>
      <c r="AA8" s="228" t="s">
        <v>16</v>
      </c>
      <c r="AB8" s="229" t="s">
        <v>13</v>
      </c>
      <c r="AC8" s="229"/>
      <c r="AD8" s="228" t="s">
        <v>11</v>
      </c>
      <c r="AE8" s="228" t="s">
        <v>12</v>
      </c>
      <c r="AF8" s="228" t="s">
        <v>11</v>
      </c>
      <c r="AG8" s="228" t="s">
        <v>12</v>
      </c>
      <c r="AH8" s="228" t="s">
        <v>15</v>
      </c>
      <c r="AI8" s="228" t="s">
        <v>13</v>
      </c>
      <c r="AJ8" s="228" t="s">
        <v>16</v>
      </c>
      <c r="AK8" s="229" t="s">
        <v>13</v>
      </c>
      <c r="AL8" s="229"/>
      <c r="AM8" s="228" t="s">
        <v>16</v>
      </c>
      <c r="AN8" s="229" t="s">
        <v>13</v>
      </c>
      <c r="AO8" s="229"/>
      <c r="AP8" s="233"/>
    </row>
    <row r="9" spans="1:42" ht="122.25" customHeight="1">
      <c r="A9" s="233"/>
      <c r="B9" s="233"/>
      <c r="C9" s="233"/>
      <c r="D9" s="235"/>
      <c r="E9" s="228"/>
      <c r="F9" s="232"/>
      <c r="G9" s="232"/>
      <c r="H9" s="232"/>
      <c r="I9" s="232"/>
      <c r="J9" s="232"/>
      <c r="K9" s="232"/>
      <c r="L9" s="232"/>
      <c r="M9" s="159" t="s">
        <v>17</v>
      </c>
      <c r="N9" s="160" t="s">
        <v>18</v>
      </c>
      <c r="O9" s="232"/>
      <c r="P9" s="159" t="s">
        <v>17</v>
      </c>
      <c r="Q9" s="160" t="s">
        <v>150</v>
      </c>
      <c r="R9" s="228"/>
      <c r="S9" s="228"/>
      <c r="T9" s="228"/>
      <c r="U9" s="228"/>
      <c r="V9" s="228"/>
      <c r="W9" s="228"/>
      <c r="X9" s="228"/>
      <c r="Y9" s="109" t="s">
        <v>17</v>
      </c>
      <c r="Z9" s="108" t="s">
        <v>18</v>
      </c>
      <c r="AA9" s="228"/>
      <c r="AB9" s="109" t="s">
        <v>17</v>
      </c>
      <c r="AC9" s="108" t="s">
        <v>150</v>
      </c>
      <c r="AD9" s="228"/>
      <c r="AE9" s="228"/>
      <c r="AF9" s="228"/>
      <c r="AG9" s="228"/>
      <c r="AH9" s="228"/>
      <c r="AI9" s="228"/>
      <c r="AJ9" s="228"/>
      <c r="AK9" s="114" t="s">
        <v>17</v>
      </c>
      <c r="AL9" s="113" t="s">
        <v>18</v>
      </c>
      <c r="AM9" s="228"/>
      <c r="AN9" s="114" t="s">
        <v>17</v>
      </c>
      <c r="AO9" s="113" t="s">
        <v>150</v>
      </c>
      <c r="AP9" s="233"/>
    </row>
    <row r="10" spans="1:42" ht="26.25" customHeight="1">
      <c r="A10" s="85">
        <v>1</v>
      </c>
      <c r="B10" s="85">
        <v>2</v>
      </c>
      <c r="C10" s="85">
        <v>3</v>
      </c>
      <c r="D10" s="85">
        <v>4</v>
      </c>
      <c r="E10" s="85">
        <v>5</v>
      </c>
      <c r="F10" s="161">
        <v>11</v>
      </c>
      <c r="G10" s="161">
        <v>12</v>
      </c>
      <c r="H10" s="161">
        <v>17</v>
      </c>
      <c r="I10" s="161">
        <v>18</v>
      </c>
      <c r="J10" s="161">
        <v>13</v>
      </c>
      <c r="K10" s="161">
        <v>14</v>
      </c>
      <c r="L10" s="161">
        <v>21</v>
      </c>
      <c r="M10" s="161">
        <v>22</v>
      </c>
      <c r="N10" s="161">
        <v>23</v>
      </c>
      <c r="O10" s="161">
        <v>15</v>
      </c>
      <c r="P10" s="161">
        <v>16</v>
      </c>
      <c r="Q10" s="161">
        <v>17</v>
      </c>
      <c r="R10" s="85">
        <v>11</v>
      </c>
      <c r="S10" s="85">
        <v>12</v>
      </c>
      <c r="T10" s="85">
        <v>17</v>
      </c>
      <c r="U10" s="85">
        <v>18</v>
      </c>
      <c r="V10" s="85">
        <v>13</v>
      </c>
      <c r="W10" s="85">
        <v>14</v>
      </c>
      <c r="X10" s="85">
        <v>21</v>
      </c>
      <c r="Y10" s="85">
        <v>22</v>
      </c>
      <c r="Z10" s="85">
        <v>23</v>
      </c>
      <c r="AA10" s="85">
        <v>15</v>
      </c>
      <c r="AB10" s="85">
        <v>16</v>
      </c>
      <c r="AC10" s="85">
        <v>17</v>
      </c>
      <c r="AD10" s="85">
        <v>11</v>
      </c>
      <c r="AE10" s="85">
        <v>12</v>
      </c>
      <c r="AF10" s="85">
        <v>17</v>
      </c>
      <c r="AG10" s="85">
        <v>18</v>
      </c>
      <c r="AH10" s="85">
        <v>13</v>
      </c>
      <c r="AI10" s="85">
        <v>14</v>
      </c>
      <c r="AJ10" s="85">
        <v>21</v>
      </c>
      <c r="AK10" s="85">
        <v>22</v>
      </c>
      <c r="AL10" s="85">
        <v>23</v>
      </c>
      <c r="AM10" s="85">
        <v>15</v>
      </c>
      <c r="AN10" s="85">
        <v>16</v>
      </c>
      <c r="AO10" s="85">
        <v>17</v>
      </c>
      <c r="AP10" s="85">
        <v>19</v>
      </c>
    </row>
    <row r="11" spans="1:42" ht="27.75" customHeight="1">
      <c r="A11" s="110"/>
      <c r="B11" s="110" t="s">
        <v>114</v>
      </c>
      <c r="C11" s="110"/>
      <c r="D11" s="110"/>
      <c r="E11" s="108"/>
      <c r="F11" s="159">
        <f aca="true" t="shared" si="0" ref="F11:Q11">F12+F19</f>
        <v>0</v>
      </c>
      <c r="G11" s="159">
        <f t="shared" si="0"/>
        <v>209011.87099999998</v>
      </c>
      <c r="H11" s="159">
        <f t="shared" si="0"/>
        <v>0</v>
      </c>
      <c r="I11" s="159">
        <f t="shared" si="0"/>
        <v>0</v>
      </c>
      <c r="J11" s="159">
        <f t="shared" si="0"/>
        <v>1204.00299</v>
      </c>
      <c r="K11" s="159">
        <f t="shared" si="0"/>
        <v>1204.00299</v>
      </c>
      <c r="L11" s="159">
        <f t="shared" si="0"/>
        <v>82777.19701</v>
      </c>
      <c r="M11" s="159">
        <f t="shared" si="0"/>
        <v>82777.19701</v>
      </c>
      <c r="N11" s="159">
        <f t="shared" si="0"/>
        <v>0</v>
      </c>
      <c r="O11" s="159">
        <f t="shared" si="0"/>
        <v>207807.86801</v>
      </c>
      <c r="P11" s="159">
        <f t="shared" si="0"/>
        <v>207807.86801</v>
      </c>
      <c r="Q11" s="159">
        <f t="shared" si="0"/>
        <v>0</v>
      </c>
      <c r="R11" s="109">
        <f aca="true" t="shared" si="1" ref="R11:AC11">R12+R19</f>
        <v>0</v>
      </c>
      <c r="S11" s="109">
        <f t="shared" si="1"/>
        <v>129824.2</v>
      </c>
      <c r="T11" s="109">
        <f t="shared" si="1"/>
        <v>0</v>
      </c>
      <c r="U11" s="109">
        <f t="shared" si="1"/>
        <v>0</v>
      </c>
      <c r="V11" s="109">
        <f t="shared" si="1"/>
        <v>1204.00299</v>
      </c>
      <c r="W11" s="109">
        <f t="shared" si="1"/>
        <v>1204.00299</v>
      </c>
      <c r="X11" s="109">
        <f t="shared" si="1"/>
        <v>82777.19701</v>
      </c>
      <c r="Y11" s="109">
        <f t="shared" si="1"/>
        <v>82777.19701</v>
      </c>
      <c r="Z11" s="109">
        <f t="shared" si="1"/>
        <v>0</v>
      </c>
      <c r="AA11" s="109">
        <f t="shared" si="1"/>
        <v>90534.19701</v>
      </c>
      <c r="AB11" s="109">
        <f t="shared" si="1"/>
        <v>90534.19701</v>
      </c>
      <c r="AC11" s="109">
        <f t="shared" si="1"/>
        <v>0</v>
      </c>
      <c r="AD11" s="114">
        <f aca="true" t="shared" si="2" ref="AD11:AO11">AD12+AD19</f>
        <v>0</v>
      </c>
      <c r="AE11" s="114">
        <f t="shared" si="2"/>
        <v>129824.2</v>
      </c>
      <c r="AF11" s="114">
        <f t="shared" si="2"/>
        <v>0</v>
      </c>
      <c r="AG11" s="114">
        <f t="shared" si="2"/>
        <v>0</v>
      </c>
      <c r="AH11" s="114">
        <f t="shared" si="2"/>
        <v>1204.00299</v>
      </c>
      <c r="AI11" s="114">
        <f t="shared" si="2"/>
        <v>1204.00299</v>
      </c>
      <c r="AJ11" s="114">
        <f t="shared" si="2"/>
        <v>82777.19701</v>
      </c>
      <c r="AK11" s="114">
        <f t="shared" si="2"/>
        <v>82777.19701</v>
      </c>
      <c r="AL11" s="114">
        <f t="shared" si="2"/>
        <v>0</v>
      </c>
      <c r="AM11" s="114">
        <f t="shared" si="2"/>
        <v>90534.19701</v>
      </c>
      <c r="AN11" s="114">
        <f t="shared" si="2"/>
        <v>90534.19701</v>
      </c>
      <c r="AO11" s="114">
        <f t="shared" si="2"/>
        <v>0</v>
      </c>
      <c r="AP11" s="93"/>
    </row>
    <row r="12" spans="1:42" ht="31.5" customHeight="1">
      <c r="A12" s="110" t="s">
        <v>76</v>
      </c>
      <c r="B12" s="110" t="s">
        <v>115</v>
      </c>
      <c r="C12" s="110"/>
      <c r="D12" s="110"/>
      <c r="E12" s="108"/>
      <c r="F12" s="159">
        <f aca="true" t="shared" si="3" ref="F12:Q12">F13+F17</f>
        <v>0</v>
      </c>
      <c r="G12" s="159">
        <f t="shared" si="3"/>
        <v>209011.87099999998</v>
      </c>
      <c r="H12" s="159">
        <f t="shared" si="3"/>
        <v>0</v>
      </c>
      <c r="I12" s="159">
        <f t="shared" si="3"/>
        <v>0</v>
      </c>
      <c r="J12" s="159">
        <f t="shared" si="3"/>
        <v>1204.00299</v>
      </c>
      <c r="K12" s="159">
        <f t="shared" si="3"/>
        <v>1204.00299</v>
      </c>
      <c r="L12" s="159">
        <f t="shared" si="3"/>
        <v>82777.19701</v>
      </c>
      <c r="M12" s="159">
        <f t="shared" si="3"/>
        <v>82777.19701</v>
      </c>
      <c r="N12" s="159">
        <f t="shared" si="3"/>
        <v>0</v>
      </c>
      <c r="O12" s="159">
        <f t="shared" si="3"/>
        <v>207807.86801</v>
      </c>
      <c r="P12" s="159">
        <f t="shared" si="3"/>
        <v>207807.86801</v>
      </c>
      <c r="Q12" s="159">
        <f t="shared" si="3"/>
        <v>0</v>
      </c>
      <c r="R12" s="109">
        <f aca="true" t="shared" si="4" ref="R12:AC12">R13+R17</f>
        <v>0</v>
      </c>
      <c r="S12" s="109">
        <f t="shared" si="4"/>
        <v>129824.2</v>
      </c>
      <c r="T12" s="109">
        <f t="shared" si="4"/>
        <v>0</v>
      </c>
      <c r="U12" s="109">
        <f t="shared" si="4"/>
        <v>0</v>
      </c>
      <c r="V12" s="109">
        <f t="shared" si="4"/>
        <v>1204.00299</v>
      </c>
      <c r="W12" s="109">
        <f t="shared" si="4"/>
        <v>1204.00299</v>
      </c>
      <c r="X12" s="109">
        <f t="shared" si="4"/>
        <v>82777.19701</v>
      </c>
      <c r="Y12" s="109">
        <f t="shared" si="4"/>
        <v>82777.19701</v>
      </c>
      <c r="Z12" s="109">
        <f t="shared" si="4"/>
        <v>0</v>
      </c>
      <c r="AA12" s="109">
        <f t="shared" si="4"/>
        <v>90534.19701</v>
      </c>
      <c r="AB12" s="109">
        <f t="shared" si="4"/>
        <v>90534.19701</v>
      </c>
      <c r="AC12" s="109">
        <f t="shared" si="4"/>
        <v>0</v>
      </c>
      <c r="AD12" s="114">
        <f aca="true" t="shared" si="5" ref="AD12:AO12">AD13+AD17</f>
        <v>0</v>
      </c>
      <c r="AE12" s="114">
        <f t="shared" si="5"/>
        <v>129824.2</v>
      </c>
      <c r="AF12" s="114">
        <f t="shared" si="5"/>
        <v>0</v>
      </c>
      <c r="AG12" s="114">
        <f t="shared" si="5"/>
        <v>0</v>
      </c>
      <c r="AH12" s="114">
        <f t="shared" si="5"/>
        <v>1204.00299</v>
      </c>
      <c r="AI12" s="114">
        <f t="shared" si="5"/>
        <v>1204.00299</v>
      </c>
      <c r="AJ12" s="114">
        <f t="shared" si="5"/>
        <v>82777.19701</v>
      </c>
      <c r="AK12" s="114">
        <f t="shared" si="5"/>
        <v>82777.19701</v>
      </c>
      <c r="AL12" s="114">
        <f t="shared" si="5"/>
        <v>0</v>
      </c>
      <c r="AM12" s="114">
        <f t="shared" si="5"/>
        <v>90534.19701</v>
      </c>
      <c r="AN12" s="114">
        <f t="shared" si="5"/>
        <v>90534.19701</v>
      </c>
      <c r="AO12" s="114">
        <f t="shared" si="5"/>
        <v>0</v>
      </c>
      <c r="AP12" s="93"/>
    </row>
    <row r="13" spans="1:42" ht="50.25" customHeight="1">
      <c r="A13" s="110" t="s">
        <v>120</v>
      </c>
      <c r="B13" s="111" t="s">
        <v>116</v>
      </c>
      <c r="C13" s="111"/>
      <c r="D13" s="110"/>
      <c r="E13" s="108"/>
      <c r="F13" s="159">
        <f aca="true" t="shared" si="6" ref="F13:Q13">SUM(F14:F16)</f>
        <v>0</v>
      </c>
      <c r="G13" s="159">
        <f t="shared" si="6"/>
        <v>199168.87099999998</v>
      </c>
      <c r="H13" s="159">
        <f t="shared" si="6"/>
        <v>0</v>
      </c>
      <c r="I13" s="159">
        <f t="shared" si="6"/>
        <v>0</v>
      </c>
      <c r="J13" s="159">
        <f t="shared" si="6"/>
        <v>1204.00299</v>
      </c>
      <c r="K13" s="159">
        <f t="shared" si="6"/>
        <v>1204.00299</v>
      </c>
      <c r="L13" s="159">
        <f t="shared" si="6"/>
        <v>82777.19701</v>
      </c>
      <c r="M13" s="159">
        <f t="shared" si="6"/>
        <v>82777.19701</v>
      </c>
      <c r="N13" s="159">
        <f t="shared" si="6"/>
        <v>0</v>
      </c>
      <c r="O13" s="159">
        <f t="shared" si="6"/>
        <v>197964.86801</v>
      </c>
      <c r="P13" s="159">
        <f t="shared" si="6"/>
        <v>197964.86801</v>
      </c>
      <c r="Q13" s="159">
        <f t="shared" si="6"/>
        <v>0</v>
      </c>
      <c r="R13" s="109">
        <f>SUM(R14:R16)</f>
        <v>0</v>
      </c>
      <c r="S13" s="109">
        <f>SUM(S14:S16)</f>
        <v>119981.2</v>
      </c>
      <c r="T13" s="109">
        <f aca="true" t="shared" si="7" ref="T13:AC13">SUM(T14:T16)</f>
        <v>0</v>
      </c>
      <c r="U13" s="109">
        <f t="shared" si="7"/>
        <v>0</v>
      </c>
      <c r="V13" s="109">
        <f t="shared" si="7"/>
        <v>1204.00299</v>
      </c>
      <c r="W13" s="109">
        <f t="shared" si="7"/>
        <v>1204.00299</v>
      </c>
      <c r="X13" s="109">
        <f t="shared" si="7"/>
        <v>82777.19701</v>
      </c>
      <c r="Y13" s="109">
        <f t="shared" si="7"/>
        <v>82777.19701</v>
      </c>
      <c r="Z13" s="109">
        <f t="shared" si="7"/>
        <v>0</v>
      </c>
      <c r="AA13" s="109">
        <f t="shared" si="7"/>
        <v>80691.19701</v>
      </c>
      <c r="AB13" s="109">
        <f t="shared" si="7"/>
        <v>80691.19701</v>
      </c>
      <c r="AC13" s="109">
        <f t="shared" si="7"/>
        <v>0</v>
      </c>
      <c r="AD13" s="114">
        <f>SUM(AD14:AD16)</f>
        <v>0</v>
      </c>
      <c r="AE13" s="114">
        <f>SUM(AE14:AE16)</f>
        <v>119981.2</v>
      </c>
      <c r="AF13" s="114">
        <f aca="true" t="shared" si="8" ref="AF13:AO13">SUM(AF14:AF16)</f>
        <v>0</v>
      </c>
      <c r="AG13" s="114">
        <f t="shared" si="8"/>
        <v>0</v>
      </c>
      <c r="AH13" s="114">
        <f t="shared" si="8"/>
        <v>1204.00299</v>
      </c>
      <c r="AI13" s="114">
        <f t="shared" si="8"/>
        <v>1204.00299</v>
      </c>
      <c r="AJ13" s="114">
        <f t="shared" si="8"/>
        <v>82777.19701</v>
      </c>
      <c r="AK13" s="114">
        <f t="shared" si="8"/>
        <v>82777.19701</v>
      </c>
      <c r="AL13" s="114">
        <f t="shared" si="8"/>
        <v>0</v>
      </c>
      <c r="AM13" s="114">
        <f t="shared" si="8"/>
        <v>80691.19701</v>
      </c>
      <c r="AN13" s="114">
        <f t="shared" si="8"/>
        <v>80691.19701</v>
      </c>
      <c r="AO13" s="114">
        <f t="shared" si="8"/>
        <v>0</v>
      </c>
      <c r="AP13" s="93"/>
    </row>
    <row r="14" spans="1:42" s="65" customFormat="1" ht="150" customHeight="1">
      <c r="A14" s="104" t="s">
        <v>23</v>
      </c>
      <c r="B14" s="94" t="s">
        <v>117</v>
      </c>
      <c r="C14" s="103" t="s">
        <v>21</v>
      </c>
      <c r="D14" s="103" t="s">
        <v>22</v>
      </c>
      <c r="E14" s="95" t="s">
        <v>118</v>
      </c>
      <c r="F14" s="162" t="s">
        <v>74</v>
      </c>
      <c r="G14" s="163">
        <f>O14</f>
        <v>114353</v>
      </c>
      <c r="H14" s="163"/>
      <c r="I14" s="163"/>
      <c r="J14" s="163">
        <v>0</v>
      </c>
      <c r="K14" s="163">
        <v>0</v>
      </c>
      <c r="L14" s="163">
        <f>M14</f>
        <v>78353</v>
      </c>
      <c r="M14" s="163">
        <v>78353</v>
      </c>
      <c r="N14" s="163"/>
      <c r="O14" s="163">
        <v>114353</v>
      </c>
      <c r="P14" s="163">
        <v>114353</v>
      </c>
      <c r="Q14" s="163"/>
      <c r="R14" s="95" t="s">
        <v>74</v>
      </c>
      <c r="S14" s="96">
        <v>114353</v>
      </c>
      <c r="T14" s="96"/>
      <c r="U14" s="96"/>
      <c r="V14" s="96">
        <v>0</v>
      </c>
      <c r="W14" s="96">
        <v>0</v>
      </c>
      <c r="X14" s="96">
        <f>Y14</f>
        <v>78353</v>
      </c>
      <c r="Y14" s="96">
        <v>78353</v>
      </c>
      <c r="Z14" s="96"/>
      <c r="AA14" s="96">
        <f>AB14</f>
        <v>76267</v>
      </c>
      <c r="AB14" s="96">
        <f>76267</f>
        <v>76267</v>
      </c>
      <c r="AC14" s="96"/>
      <c r="AD14" s="95" t="s">
        <v>74</v>
      </c>
      <c r="AE14" s="96">
        <v>114353</v>
      </c>
      <c r="AF14" s="96"/>
      <c r="AG14" s="96"/>
      <c r="AH14" s="96">
        <v>0</v>
      </c>
      <c r="AI14" s="96">
        <v>0</v>
      </c>
      <c r="AJ14" s="96">
        <f>AK14</f>
        <v>78353</v>
      </c>
      <c r="AK14" s="96">
        <v>78353</v>
      </c>
      <c r="AL14" s="96"/>
      <c r="AM14" s="96">
        <f>AN14</f>
        <v>76267</v>
      </c>
      <c r="AN14" s="96">
        <f>76267</f>
        <v>76267</v>
      </c>
      <c r="AO14" s="96"/>
      <c r="AP14" s="103" t="s">
        <v>350</v>
      </c>
    </row>
    <row r="15" spans="1:42" s="65" customFormat="1" ht="96" customHeight="1">
      <c r="A15" s="104" t="s">
        <v>23</v>
      </c>
      <c r="B15" s="94" t="s">
        <v>283</v>
      </c>
      <c r="C15" s="103" t="s">
        <v>21</v>
      </c>
      <c r="D15" s="103" t="s">
        <v>22</v>
      </c>
      <c r="E15" s="95" t="s">
        <v>119</v>
      </c>
      <c r="F15" s="162" t="s">
        <v>75</v>
      </c>
      <c r="G15" s="163">
        <v>5628.2</v>
      </c>
      <c r="H15" s="163"/>
      <c r="I15" s="163"/>
      <c r="J15" s="163">
        <v>1204.00299</v>
      </c>
      <c r="K15" s="163">
        <v>1204.00299</v>
      </c>
      <c r="L15" s="163">
        <f>M15</f>
        <v>4424.19701</v>
      </c>
      <c r="M15" s="163">
        <f>G15-K15</f>
        <v>4424.19701</v>
      </c>
      <c r="N15" s="163"/>
      <c r="O15" s="163">
        <f>P15</f>
        <v>4424.19701</v>
      </c>
      <c r="P15" s="163">
        <f>G15-J15</f>
        <v>4424.19701</v>
      </c>
      <c r="Q15" s="163"/>
      <c r="R15" s="95" t="s">
        <v>75</v>
      </c>
      <c r="S15" s="96">
        <v>5628.2</v>
      </c>
      <c r="T15" s="96"/>
      <c r="U15" s="96"/>
      <c r="V15" s="96">
        <v>1204.00299</v>
      </c>
      <c r="W15" s="96">
        <v>1204.00299</v>
      </c>
      <c r="X15" s="96">
        <f>Y15</f>
        <v>4424.19701</v>
      </c>
      <c r="Y15" s="96">
        <f>S15-W15</f>
        <v>4424.19701</v>
      </c>
      <c r="Z15" s="96"/>
      <c r="AA15" s="96">
        <f>AB15</f>
        <v>4424.19701</v>
      </c>
      <c r="AB15" s="96">
        <f>S15-V15</f>
        <v>4424.19701</v>
      </c>
      <c r="AC15" s="96"/>
      <c r="AD15" s="95" t="s">
        <v>75</v>
      </c>
      <c r="AE15" s="96">
        <v>5628.2</v>
      </c>
      <c r="AF15" s="96"/>
      <c r="AG15" s="96"/>
      <c r="AH15" s="96">
        <v>1204.00299</v>
      </c>
      <c r="AI15" s="96">
        <v>1204.00299</v>
      </c>
      <c r="AJ15" s="96">
        <f>AK15</f>
        <v>4424.19701</v>
      </c>
      <c r="AK15" s="96">
        <f>AE15-AI15</f>
        <v>4424.19701</v>
      </c>
      <c r="AL15" s="96"/>
      <c r="AM15" s="96">
        <f>AN15</f>
        <v>4424.19701</v>
      </c>
      <c r="AN15" s="96">
        <f>AE15-AH15</f>
        <v>4424.19701</v>
      </c>
      <c r="AO15" s="96"/>
      <c r="AP15" s="97"/>
    </row>
    <row r="16" spans="1:42" s="65" customFormat="1" ht="132.75" customHeight="1" hidden="1">
      <c r="A16" s="104" t="s">
        <v>23</v>
      </c>
      <c r="B16" s="94" t="s">
        <v>266</v>
      </c>
      <c r="C16" s="103" t="s">
        <v>21</v>
      </c>
      <c r="D16" s="103" t="s">
        <v>22</v>
      </c>
      <c r="E16" s="95" t="s">
        <v>37</v>
      </c>
      <c r="F16" s="162" t="s">
        <v>198</v>
      </c>
      <c r="G16" s="163">
        <v>79187.671</v>
      </c>
      <c r="H16" s="163"/>
      <c r="I16" s="163"/>
      <c r="J16" s="163">
        <v>0</v>
      </c>
      <c r="K16" s="163">
        <v>0</v>
      </c>
      <c r="L16" s="163"/>
      <c r="M16" s="163"/>
      <c r="N16" s="163"/>
      <c r="O16" s="163">
        <v>79187.671</v>
      </c>
      <c r="P16" s="163">
        <v>79187.671</v>
      </c>
      <c r="Q16" s="163"/>
      <c r="R16" s="95"/>
      <c r="S16" s="96"/>
      <c r="T16" s="96"/>
      <c r="U16" s="96"/>
      <c r="V16" s="96">
        <v>0</v>
      </c>
      <c r="W16" s="96">
        <v>0</v>
      </c>
      <c r="X16" s="96"/>
      <c r="Y16" s="96"/>
      <c r="Z16" s="96"/>
      <c r="AA16" s="96"/>
      <c r="AB16" s="96"/>
      <c r="AC16" s="96"/>
      <c r="AD16" s="95"/>
      <c r="AE16" s="96"/>
      <c r="AF16" s="96"/>
      <c r="AG16" s="96"/>
      <c r="AH16" s="96">
        <v>0</v>
      </c>
      <c r="AI16" s="96">
        <v>0</v>
      </c>
      <c r="AJ16" s="96"/>
      <c r="AK16" s="96"/>
      <c r="AL16" s="96"/>
      <c r="AM16" s="96"/>
      <c r="AN16" s="96"/>
      <c r="AO16" s="96"/>
      <c r="AP16" s="103" t="s">
        <v>348</v>
      </c>
    </row>
    <row r="17" spans="1:42" ht="35.25" customHeight="1">
      <c r="A17" s="110" t="s">
        <v>120</v>
      </c>
      <c r="B17" s="111" t="s">
        <v>201</v>
      </c>
      <c r="C17" s="111"/>
      <c r="D17" s="110"/>
      <c r="E17" s="108"/>
      <c r="F17" s="159">
        <f aca="true" t="shared" si="9" ref="F17:AO17">F18</f>
        <v>0</v>
      </c>
      <c r="G17" s="159">
        <f t="shared" si="9"/>
        <v>9843</v>
      </c>
      <c r="H17" s="159">
        <f t="shared" si="9"/>
        <v>0</v>
      </c>
      <c r="I17" s="159">
        <f t="shared" si="9"/>
        <v>0</v>
      </c>
      <c r="J17" s="159">
        <f t="shared" si="9"/>
        <v>0</v>
      </c>
      <c r="K17" s="159">
        <f t="shared" si="9"/>
        <v>0</v>
      </c>
      <c r="L17" s="159">
        <f t="shared" si="9"/>
        <v>0</v>
      </c>
      <c r="M17" s="159">
        <f t="shared" si="9"/>
        <v>0</v>
      </c>
      <c r="N17" s="159">
        <f t="shared" si="9"/>
        <v>0</v>
      </c>
      <c r="O17" s="159">
        <f t="shared" si="9"/>
        <v>9843</v>
      </c>
      <c r="P17" s="159">
        <f t="shared" si="9"/>
        <v>9843</v>
      </c>
      <c r="Q17" s="159">
        <f t="shared" si="9"/>
        <v>0</v>
      </c>
      <c r="R17" s="109">
        <f t="shared" si="9"/>
        <v>0</v>
      </c>
      <c r="S17" s="109">
        <f t="shared" si="9"/>
        <v>9843</v>
      </c>
      <c r="T17" s="109">
        <f t="shared" si="9"/>
        <v>0</v>
      </c>
      <c r="U17" s="109">
        <f t="shared" si="9"/>
        <v>0</v>
      </c>
      <c r="V17" s="109">
        <f t="shared" si="9"/>
        <v>0</v>
      </c>
      <c r="W17" s="109">
        <f t="shared" si="9"/>
        <v>0</v>
      </c>
      <c r="X17" s="109">
        <f t="shared" si="9"/>
        <v>0</v>
      </c>
      <c r="Y17" s="109">
        <f t="shared" si="9"/>
        <v>0</v>
      </c>
      <c r="Z17" s="109">
        <f t="shared" si="9"/>
        <v>0</v>
      </c>
      <c r="AA17" s="109">
        <f t="shared" si="9"/>
        <v>9843</v>
      </c>
      <c r="AB17" s="109">
        <f t="shared" si="9"/>
        <v>9843</v>
      </c>
      <c r="AC17" s="109">
        <f t="shared" si="9"/>
        <v>0</v>
      </c>
      <c r="AD17" s="114">
        <f t="shared" si="9"/>
        <v>0</v>
      </c>
      <c r="AE17" s="114">
        <f t="shared" si="9"/>
        <v>9843</v>
      </c>
      <c r="AF17" s="114">
        <f t="shared" si="9"/>
        <v>0</v>
      </c>
      <c r="AG17" s="114">
        <f t="shared" si="9"/>
        <v>0</v>
      </c>
      <c r="AH17" s="114">
        <f t="shared" si="9"/>
        <v>0</v>
      </c>
      <c r="AI17" s="114">
        <f t="shared" si="9"/>
        <v>0</v>
      </c>
      <c r="AJ17" s="114">
        <f t="shared" si="9"/>
        <v>0</v>
      </c>
      <c r="AK17" s="114">
        <f t="shared" si="9"/>
        <v>0</v>
      </c>
      <c r="AL17" s="114">
        <f t="shared" si="9"/>
        <v>0</v>
      </c>
      <c r="AM17" s="114">
        <f t="shared" si="9"/>
        <v>9843</v>
      </c>
      <c r="AN17" s="114">
        <f t="shared" si="9"/>
        <v>9843</v>
      </c>
      <c r="AO17" s="114">
        <f t="shared" si="9"/>
        <v>0</v>
      </c>
      <c r="AP17" s="93"/>
    </row>
    <row r="18" spans="1:42" s="65" customFormat="1" ht="102" customHeight="1">
      <c r="A18" s="104" t="s">
        <v>23</v>
      </c>
      <c r="B18" s="94" t="s">
        <v>291</v>
      </c>
      <c r="C18" s="103" t="s">
        <v>21</v>
      </c>
      <c r="D18" s="103" t="s">
        <v>22</v>
      </c>
      <c r="E18" s="95" t="s">
        <v>225</v>
      </c>
      <c r="F18" s="162"/>
      <c r="G18" s="163">
        <v>9843</v>
      </c>
      <c r="H18" s="163"/>
      <c r="I18" s="163"/>
      <c r="J18" s="163">
        <v>0</v>
      </c>
      <c r="K18" s="163">
        <v>0</v>
      </c>
      <c r="L18" s="163">
        <v>0</v>
      </c>
      <c r="M18" s="163">
        <v>0</v>
      </c>
      <c r="N18" s="163"/>
      <c r="O18" s="163">
        <f>P18</f>
        <v>9843</v>
      </c>
      <c r="P18" s="163">
        <v>9843</v>
      </c>
      <c r="Q18" s="163"/>
      <c r="R18" s="95"/>
      <c r="S18" s="96">
        <v>9843</v>
      </c>
      <c r="T18" s="96"/>
      <c r="U18" s="96"/>
      <c r="V18" s="96">
        <v>0</v>
      </c>
      <c r="W18" s="96">
        <v>0</v>
      </c>
      <c r="X18" s="96">
        <v>0</v>
      </c>
      <c r="Y18" s="96">
        <v>0</v>
      </c>
      <c r="Z18" s="96"/>
      <c r="AA18" s="96">
        <f>AB18</f>
        <v>9843</v>
      </c>
      <c r="AB18" s="96">
        <v>9843</v>
      </c>
      <c r="AC18" s="96"/>
      <c r="AD18" s="95"/>
      <c r="AE18" s="96">
        <v>9843</v>
      </c>
      <c r="AF18" s="96"/>
      <c r="AG18" s="96"/>
      <c r="AH18" s="96">
        <v>0</v>
      </c>
      <c r="AI18" s="96">
        <v>0</v>
      </c>
      <c r="AJ18" s="96">
        <v>0</v>
      </c>
      <c r="AK18" s="96">
        <v>0</v>
      </c>
      <c r="AL18" s="96"/>
      <c r="AM18" s="96">
        <f>AN18</f>
        <v>9843</v>
      </c>
      <c r="AN18" s="96">
        <v>9843</v>
      </c>
      <c r="AO18" s="96"/>
      <c r="AP18" s="103"/>
    </row>
    <row r="19" spans="1:42" ht="39" customHeight="1">
      <c r="A19" s="110" t="s">
        <v>111</v>
      </c>
      <c r="B19" s="110" t="s">
        <v>112</v>
      </c>
      <c r="C19" s="110"/>
      <c r="D19" s="110"/>
      <c r="E19" s="108"/>
      <c r="F19" s="159"/>
      <c r="G19" s="159"/>
      <c r="H19" s="159"/>
      <c r="I19" s="159"/>
      <c r="J19" s="159"/>
      <c r="K19" s="159"/>
      <c r="L19" s="159"/>
      <c r="M19" s="159"/>
      <c r="N19" s="159"/>
      <c r="O19" s="159"/>
      <c r="P19" s="159"/>
      <c r="Q19" s="159"/>
      <c r="R19" s="109"/>
      <c r="S19" s="109"/>
      <c r="T19" s="109"/>
      <c r="U19" s="109"/>
      <c r="V19" s="109"/>
      <c r="W19" s="109"/>
      <c r="X19" s="109"/>
      <c r="Y19" s="109"/>
      <c r="Z19" s="109"/>
      <c r="AA19" s="109"/>
      <c r="AB19" s="109"/>
      <c r="AC19" s="109"/>
      <c r="AD19" s="114"/>
      <c r="AE19" s="114"/>
      <c r="AF19" s="114"/>
      <c r="AG19" s="114"/>
      <c r="AH19" s="114"/>
      <c r="AI19" s="114"/>
      <c r="AJ19" s="114"/>
      <c r="AK19" s="114"/>
      <c r="AL19" s="114"/>
      <c r="AM19" s="114"/>
      <c r="AN19" s="114"/>
      <c r="AO19" s="114"/>
      <c r="AP19" s="93"/>
    </row>
  </sheetData>
  <sheetProtection/>
  <mergeCells count="59">
    <mergeCell ref="T7:U7"/>
    <mergeCell ref="V7:W7"/>
    <mergeCell ref="X7:Z7"/>
    <mergeCell ref="U8:U9"/>
    <mergeCell ref="V8:V9"/>
    <mergeCell ref="W8:W9"/>
    <mergeCell ref="X8:X9"/>
    <mergeCell ref="R8:R9"/>
    <mergeCell ref="T8:T9"/>
    <mergeCell ref="H8:H9"/>
    <mergeCell ref="AB8:AC8"/>
    <mergeCell ref="L1:AP1"/>
    <mergeCell ref="A2:AP2"/>
    <mergeCell ref="L5:AP5"/>
    <mergeCell ref="J7:K7"/>
    <mergeCell ref="P8:Q8"/>
    <mergeCell ref="R7:S7"/>
    <mergeCell ref="S8:S9"/>
    <mergeCell ref="Y8:Z8"/>
    <mergeCell ref="AA8:AA9"/>
    <mergeCell ref="AP6:AP9"/>
    <mergeCell ref="B6:B9"/>
    <mergeCell ref="K8:K9"/>
    <mergeCell ref="O8:O9"/>
    <mergeCell ref="F8:F9"/>
    <mergeCell ref="J8:J9"/>
    <mergeCell ref="D6:D9"/>
    <mergeCell ref="I8:I9"/>
    <mergeCell ref="F6:Q6"/>
    <mergeCell ref="L8:L9"/>
    <mergeCell ref="L7:N7"/>
    <mergeCell ref="G8:G9"/>
    <mergeCell ref="H7:I7"/>
    <mergeCell ref="A3:AP3"/>
    <mergeCell ref="F7:G7"/>
    <mergeCell ref="E6:E9"/>
    <mergeCell ref="A6:A9"/>
    <mergeCell ref="C6:C9"/>
    <mergeCell ref="A4:AP4"/>
    <mergeCell ref="M8:N8"/>
    <mergeCell ref="O7:Q7"/>
    <mergeCell ref="AA7:AC7"/>
    <mergeCell ref="R6:AC6"/>
    <mergeCell ref="AD6:AO6"/>
    <mergeCell ref="AD7:AE7"/>
    <mergeCell ref="AF7:AG7"/>
    <mergeCell ref="AH7:AI7"/>
    <mergeCell ref="AJ7:AL7"/>
    <mergeCell ref="AM7:AO7"/>
    <mergeCell ref="AJ8:AJ9"/>
    <mergeCell ref="AK8:AL8"/>
    <mergeCell ref="AM8:AM9"/>
    <mergeCell ref="AN8:AO8"/>
    <mergeCell ref="AD8:AD9"/>
    <mergeCell ref="AE8:AE9"/>
    <mergeCell ref="AF8:AF9"/>
    <mergeCell ref="AG8:AG9"/>
    <mergeCell ref="AH8:AH9"/>
    <mergeCell ref="AI8:AI9"/>
  </mergeCells>
  <printOptions/>
  <pageMargins left="0.2362204724409449" right="0.15748031496062992" top="0.35433070866141736" bottom="0.4724409448818898" header="0.31496062992125984" footer="0.31496062992125984"/>
  <pageSetup horizontalDpi="600" verticalDpi="600" orientation="landscape" paperSize="9" scale="53" r:id="rId1"/>
  <headerFooter>
    <oddFooter>&amp;L&amp;10KH ĐTC trung hạn GĐ 2016 - 2020 (Điều chỉnh)&amp;R&amp;10Trang &amp;P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1:AF73"/>
  <sheetViews>
    <sheetView view="pageBreakPreview" zoomScale="50" zoomScaleNormal="70" zoomScaleSheetLayoutView="50" zoomScalePageLayoutView="0" workbookViewId="0" topLeftCell="A1">
      <pane ySplit="10" topLeftCell="A11" activePane="bottomLeft" state="frozen"/>
      <selection pane="topLeft" activeCell="A1" sqref="A1"/>
      <selection pane="bottomLeft" activeCell="E61" sqref="E61:E64"/>
    </sheetView>
  </sheetViews>
  <sheetFormatPr defaultColWidth="8.88671875" defaultRowHeight="16.5"/>
  <cols>
    <col min="1" max="1" width="4.5546875" style="1" customWidth="1"/>
    <col min="2" max="2" width="69.99609375" style="2" customWidth="1"/>
    <col min="3" max="3" width="11.10546875" style="1" customWidth="1"/>
    <col min="4" max="4" width="8.21484375" style="4" customWidth="1"/>
    <col min="5" max="5" width="8.99609375" style="3" bestFit="1" customWidth="1"/>
    <col min="6" max="6" width="16.99609375" style="6" customWidth="1"/>
    <col min="7" max="7" width="8.6640625" style="3" customWidth="1"/>
    <col min="8" max="8" width="18.5546875" style="6" customWidth="1"/>
    <col min="9" max="9" width="9.10546875" style="3" customWidth="1"/>
    <col min="10" max="10" width="8.99609375" style="3" bestFit="1" customWidth="1"/>
    <col min="11" max="11" width="10.5546875" style="3" customWidth="1"/>
    <col min="12" max="12" width="10.10546875" style="3" bestFit="1" customWidth="1"/>
    <col min="13" max="13" width="9.77734375" style="3" customWidth="1"/>
    <col min="14" max="24" width="11.99609375" style="3" customWidth="1"/>
    <col min="25" max="25" width="11.6640625" style="3" customWidth="1"/>
    <col min="26" max="26" width="51.5546875" style="1" customWidth="1"/>
    <col min="27" max="31" width="8.88671875" style="1" customWidth="1"/>
    <col min="32" max="32" width="42.5546875" style="1" customWidth="1"/>
    <col min="33" max="16384" width="8.88671875" style="1" customWidth="1"/>
  </cols>
  <sheetData>
    <row r="1" spans="12:26" ht="16.5">
      <c r="L1" s="258" t="s">
        <v>20</v>
      </c>
      <c r="M1" s="258"/>
      <c r="N1" s="258"/>
      <c r="O1" s="258"/>
      <c r="P1" s="258"/>
      <c r="Q1" s="258"/>
      <c r="R1" s="258"/>
      <c r="S1" s="258"/>
      <c r="T1" s="258"/>
      <c r="U1" s="258"/>
      <c r="V1" s="258"/>
      <c r="W1" s="258"/>
      <c r="X1" s="258"/>
      <c r="Y1" s="258"/>
      <c r="Z1" s="258"/>
    </row>
    <row r="2" spans="1:26" ht="16.5">
      <c r="A2" s="259" t="s">
        <v>148</v>
      </c>
      <c r="B2" s="259"/>
      <c r="C2" s="259"/>
      <c r="D2" s="259"/>
      <c r="E2" s="259"/>
      <c r="F2" s="259"/>
      <c r="G2" s="259"/>
      <c r="H2" s="259"/>
      <c r="I2" s="259"/>
      <c r="J2" s="259"/>
      <c r="K2" s="259"/>
      <c r="L2" s="259"/>
      <c r="M2" s="259"/>
      <c r="N2" s="259"/>
      <c r="O2" s="259"/>
      <c r="P2" s="259"/>
      <c r="Q2" s="259"/>
      <c r="R2" s="259"/>
      <c r="S2" s="259"/>
      <c r="T2" s="259"/>
      <c r="U2" s="259"/>
      <c r="V2" s="259"/>
      <c r="W2" s="259"/>
      <c r="X2" s="259"/>
      <c r="Y2" s="259"/>
      <c r="Z2" s="259"/>
    </row>
    <row r="3" spans="1:26" ht="16.5" hidden="1">
      <c r="A3" s="248" t="s">
        <v>146</v>
      </c>
      <c r="B3" s="259"/>
      <c r="C3" s="259"/>
      <c r="D3" s="259"/>
      <c r="E3" s="259"/>
      <c r="F3" s="259"/>
      <c r="G3" s="259"/>
      <c r="H3" s="259"/>
      <c r="I3" s="259"/>
      <c r="J3" s="259"/>
      <c r="K3" s="259"/>
      <c r="L3" s="259"/>
      <c r="M3" s="259"/>
      <c r="N3" s="259"/>
      <c r="O3" s="259"/>
      <c r="P3" s="259"/>
      <c r="Q3" s="259"/>
      <c r="R3" s="259"/>
      <c r="S3" s="259"/>
      <c r="T3" s="259"/>
      <c r="U3" s="259"/>
      <c r="V3" s="259"/>
      <c r="W3" s="259"/>
      <c r="X3" s="259"/>
      <c r="Y3" s="259"/>
      <c r="Z3" s="259"/>
    </row>
    <row r="4" spans="1:26" ht="16.5">
      <c r="A4" s="248" t="s">
        <v>149</v>
      </c>
      <c r="B4" s="259"/>
      <c r="C4" s="259"/>
      <c r="D4" s="259"/>
      <c r="E4" s="259"/>
      <c r="F4" s="259"/>
      <c r="G4" s="259"/>
      <c r="H4" s="259"/>
      <c r="I4" s="259"/>
      <c r="J4" s="259"/>
      <c r="K4" s="259"/>
      <c r="L4" s="259"/>
      <c r="M4" s="259"/>
      <c r="N4" s="259"/>
      <c r="O4" s="259"/>
      <c r="P4" s="259"/>
      <c r="Q4" s="259"/>
      <c r="R4" s="259"/>
      <c r="S4" s="259"/>
      <c r="T4" s="259"/>
      <c r="U4" s="259"/>
      <c r="V4" s="259"/>
      <c r="W4" s="259"/>
      <c r="X4" s="259"/>
      <c r="Y4" s="259"/>
      <c r="Z4" s="259"/>
    </row>
    <row r="5" spans="1:26" ht="16.5" hidden="1">
      <c r="A5" s="248" t="s">
        <v>144</v>
      </c>
      <c r="B5" s="248"/>
      <c r="C5" s="248"/>
      <c r="D5" s="248"/>
      <c r="E5" s="248"/>
      <c r="F5" s="248"/>
      <c r="G5" s="248"/>
      <c r="H5" s="248"/>
      <c r="I5" s="248"/>
      <c r="J5" s="248"/>
      <c r="K5" s="248"/>
      <c r="L5" s="248"/>
      <c r="M5" s="248"/>
      <c r="N5" s="248"/>
      <c r="O5" s="248"/>
      <c r="P5" s="248"/>
      <c r="Q5" s="248"/>
      <c r="R5" s="248"/>
      <c r="S5" s="248"/>
      <c r="T5" s="248"/>
      <c r="U5" s="248"/>
      <c r="V5" s="248"/>
      <c r="W5" s="248"/>
      <c r="X5" s="248"/>
      <c r="Y5" s="248"/>
      <c r="Z5" s="248"/>
    </row>
    <row r="6" spans="1:26" ht="16.5" hidden="1">
      <c r="A6" s="248" t="s">
        <v>145</v>
      </c>
      <c r="B6" s="248"/>
      <c r="C6" s="248"/>
      <c r="D6" s="248"/>
      <c r="E6" s="248"/>
      <c r="F6" s="248"/>
      <c r="G6" s="248"/>
      <c r="H6" s="248"/>
      <c r="I6" s="248"/>
      <c r="J6" s="248"/>
      <c r="K6" s="248"/>
      <c r="L6" s="248"/>
      <c r="M6" s="248"/>
      <c r="N6" s="248"/>
      <c r="O6" s="248"/>
      <c r="P6" s="248"/>
      <c r="Q6" s="248"/>
      <c r="R6" s="248"/>
      <c r="S6" s="248"/>
      <c r="T6" s="248"/>
      <c r="U6" s="248"/>
      <c r="V6" s="248"/>
      <c r="W6" s="248"/>
      <c r="X6" s="248"/>
      <c r="Y6" s="248"/>
      <c r="Z6" s="248"/>
    </row>
    <row r="7" spans="1:26" ht="16.5">
      <c r="A7" s="4"/>
      <c r="B7" s="5"/>
      <c r="C7" s="4"/>
      <c r="E7" s="6"/>
      <c r="G7" s="6"/>
      <c r="I7" s="6"/>
      <c r="J7" s="6"/>
      <c r="K7" s="6"/>
      <c r="L7" s="253" t="s">
        <v>4</v>
      </c>
      <c r="M7" s="253"/>
      <c r="N7" s="253"/>
      <c r="O7" s="253"/>
      <c r="P7" s="253"/>
      <c r="Q7" s="253"/>
      <c r="R7" s="253"/>
      <c r="S7" s="253"/>
      <c r="T7" s="253"/>
      <c r="U7" s="253"/>
      <c r="V7" s="253"/>
      <c r="W7" s="253"/>
      <c r="X7" s="253"/>
      <c r="Y7" s="253"/>
      <c r="Z7" s="253"/>
    </row>
    <row r="8" spans="1:26" ht="50.25" customHeight="1">
      <c r="A8" s="244" t="s">
        <v>0</v>
      </c>
      <c r="B8" s="244" t="s">
        <v>7</v>
      </c>
      <c r="C8" s="249" t="s">
        <v>8</v>
      </c>
      <c r="D8" s="252" t="s">
        <v>9</v>
      </c>
      <c r="E8" s="241" t="s">
        <v>10</v>
      </c>
      <c r="F8" s="246" t="s">
        <v>151</v>
      </c>
      <c r="G8" s="247"/>
      <c r="H8" s="246" t="s">
        <v>155</v>
      </c>
      <c r="I8" s="247"/>
      <c r="J8" s="241" t="s">
        <v>14</v>
      </c>
      <c r="K8" s="241"/>
      <c r="L8" s="241" t="s">
        <v>196</v>
      </c>
      <c r="M8" s="241"/>
      <c r="N8" s="241"/>
      <c r="O8" s="246" t="s">
        <v>180</v>
      </c>
      <c r="P8" s="254"/>
      <c r="Q8" s="254"/>
      <c r="R8" s="254"/>
      <c r="S8" s="254"/>
      <c r="T8" s="254"/>
      <c r="U8" s="254"/>
      <c r="V8" s="254"/>
      <c r="W8" s="247"/>
      <c r="X8" s="246" t="s">
        <v>174</v>
      </c>
      <c r="Y8" s="247"/>
      <c r="Z8" s="244" t="s">
        <v>19</v>
      </c>
    </row>
    <row r="9" spans="1:26" ht="27.75" customHeight="1">
      <c r="A9" s="244"/>
      <c r="B9" s="244"/>
      <c r="C9" s="250"/>
      <c r="D9" s="252"/>
      <c r="E9" s="241"/>
      <c r="F9" s="241" t="s">
        <v>11</v>
      </c>
      <c r="G9" s="241" t="s">
        <v>12</v>
      </c>
      <c r="H9" s="241" t="s">
        <v>11</v>
      </c>
      <c r="I9" s="241" t="s">
        <v>12</v>
      </c>
      <c r="J9" s="241" t="s">
        <v>15</v>
      </c>
      <c r="K9" s="241" t="s">
        <v>13</v>
      </c>
      <c r="L9" s="241" t="s">
        <v>16</v>
      </c>
      <c r="M9" s="240" t="s">
        <v>13</v>
      </c>
      <c r="N9" s="240"/>
      <c r="O9" s="241" t="s">
        <v>16</v>
      </c>
      <c r="P9" s="240" t="s">
        <v>13</v>
      </c>
      <c r="Q9" s="240"/>
      <c r="R9" s="242" t="s">
        <v>210</v>
      </c>
      <c r="S9" s="255" t="s">
        <v>124</v>
      </c>
      <c r="T9" s="256"/>
      <c r="U9" s="256"/>
      <c r="V9" s="256"/>
      <c r="W9" s="257"/>
      <c r="X9" s="242" t="s">
        <v>152</v>
      </c>
      <c r="Y9" s="242" t="s">
        <v>153</v>
      </c>
      <c r="Z9" s="244"/>
    </row>
    <row r="10" spans="1:26" ht="65.25" customHeight="1">
      <c r="A10" s="244"/>
      <c r="B10" s="244"/>
      <c r="C10" s="251"/>
      <c r="D10" s="252"/>
      <c r="E10" s="241"/>
      <c r="F10" s="241"/>
      <c r="G10" s="241"/>
      <c r="H10" s="241"/>
      <c r="I10" s="241"/>
      <c r="J10" s="241"/>
      <c r="K10" s="241"/>
      <c r="L10" s="241"/>
      <c r="M10" s="7" t="s">
        <v>17</v>
      </c>
      <c r="N10" s="8" t="s">
        <v>150</v>
      </c>
      <c r="O10" s="241"/>
      <c r="P10" s="7" t="s">
        <v>17</v>
      </c>
      <c r="Q10" s="8" t="s">
        <v>150</v>
      </c>
      <c r="R10" s="243"/>
      <c r="S10" s="36" t="s">
        <v>204</v>
      </c>
      <c r="T10" s="36" t="s">
        <v>205</v>
      </c>
      <c r="U10" s="36" t="s">
        <v>206</v>
      </c>
      <c r="V10" s="36" t="s">
        <v>207</v>
      </c>
      <c r="W10" s="36" t="s">
        <v>208</v>
      </c>
      <c r="X10" s="243"/>
      <c r="Y10" s="243"/>
      <c r="Z10" s="244"/>
    </row>
    <row r="11" spans="1:26" ht="16.5">
      <c r="A11" s="9">
        <v>1</v>
      </c>
      <c r="B11" s="9">
        <v>2</v>
      </c>
      <c r="C11" s="9">
        <v>3</v>
      </c>
      <c r="D11" s="27">
        <v>4</v>
      </c>
      <c r="E11" s="9">
        <v>6</v>
      </c>
      <c r="F11" s="27">
        <v>7</v>
      </c>
      <c r="G11" s="9">
        <v>8</v>
      </c>
      <c r="H11" s="27"/>
      <c r="I11" s="9"/>
      <c r="J11" s="9">
        <v>9</v>
      </c>
      <c r="K11" s="9">
        <v>10</v>
      </c>
      <c r="L11" s="9">
        <v>11</v>
      </c>
      <c r="M11" s="9">
        <v>12</v>
      </c>
      <c r="N11" s="9">
        <v>13</v>
      </c>
      <c r="O11" s="9"/>
      <c r="P11" s="9"/>
      <c r="Q11" s="9"/>
      <c r="R11" s="9"/>
      <c r="S11" s="9"/>
      <c r="T11" s="9"/>
      <c r="U11" s="9"/>
      <c r="V11" s="9"/>
      <c r="W11" s="9"/>
      <c r="X11" s="9"/>
      <c r="Y11" s="9"/>
      <c r="Z11" s="9">
        <v>14</v>
      </c>
    </row>
    <row r="12" spans="1:26" ht="16.5">
      <c r="A12" s="10"/>
      <c r="B12" s="10" t="s">
        <v>113</v>
      </c>
      <c r="C12" s="10"/>
      <c r="D12" s="28"/>
      <c r="E12" s="11"/>
      <c r="F12" s="29"/>
      <c r="G12" s="11"/>
      <c r="H12" s="29"/>
      <c r="I12" s="11"/>
      <c r="J12" s="11"/>
      <c r="K12" s="11"/>
      <c r="L12" s="11">
        <f>L13+L70</f>
        <v>175357.252165</v>
      </c>
      <c r="M12" s="11">
        <f aca="true" t="shared" si="0" ref="M12:Y12">M13+M70</f>
        <v>175357.252165</v>
      </c>
      <c r="N12" s="11">
        <f t="shared" si="0"/>
        <v>0</v>
      </c>
      <c r="O12" s="11">
        <f t="shared" si="0"/>
        <v>303763.214346</v>
      </c>
      <c r="P12" s="11">
        <f t="shared" si="0"/>
        <v>303763.214346</v>
      </c>
      <c r="Q12" s="11">
        <f t="shared" si="0"/>
        <v>0</v>
      </c>
      <c r="R12" s="11">
        <f t="shared" si="0"/>
        <v>303628.53174</v>
      </c>
      <c r="S12" s="11">
        <f t="shared" si="0"/>
        <v>18546.299064999996</v>
      </c>
      <c r="T12" s="11">
        <f t="shared" si="0"/>
        <v>49812.380393</v>
      </c>
      <c r="U12" s="11">
        <f t="shared" si="0"/>
        <v>90217.852282</v>
      </c>
      <c r="V12" s="11">
        <f t="shared" si="0"/>
        <v>70056</v>
      </c>
      <c r="W12" s="11">
        <f t="shared" si="0"/>
        <v>71321</v>
      </c>
      <c r="X12" s="11">
        <f t="shared" si="0"/>
        <v>54845.790836</v>
      </c>
      <c r="Y12" s="11">
        <f t="shared" si="0"/>
        <v>-2407.413096</v>
      </c>
      <c r="Z12" s="10"/>
    </row>
    <row r="13" spans="1:26" ht="16.5">
      <c r="A13" s="43" t="s">
        <v>76</v>
      </c>
      <c r="B13" s="43" t="s">
        <v>218</v>
      </c>
      <c r="C13" s="43"/>
      <c r="D13" s="44"/>
      <c r="E13" s="45"/>
      <c r="F13" s="46"/>
      <c r="G13" s="45"/>
      <c r="H13" s="46"/>
      <c r="I13" s="45"/>
      <c r="J13" s="45"/>
      <c r="K13" s="45"/>
      <c r="L13" s="45">
        <f>L14++L55++L66</f>
        <v>92580.055155</v>
      </c>
      <c r="M13" s="45">
        <f>M14++M55++M66</f>
        <v>92580.055155</v>
      </c>
      <c r="N13" s="45">
        <f>N14++N55++N66</f>
        <v>0</v>
      </c>
      <c r="O13" s="45">
        <f>O14++O55++O66</f>
        <v>145018.540356</v>
      </c>
      <c r="P13" s="45">
        <f>P14++P55++P66</f>
        <v>145018.540356</v>
      </c>
      <c r="Q13" s="45">
        <f aca="true" t="shared" si="1" ref="Q13:W13">Q14++Q55++Q66</f>
        <v>0</v>
      </c>
      <c r="R13" s="45">
        <f t="shared" si="1"/>
        <v>145018.81374</v>
      </c>
      <c r="S13" s="45">
        <f t="shared" si="1"/>
        <v>17081.813739999998</v>
      </c>
      <c r="T13" s="45">
        <f t="shared" si="1"/>
        <v>23319</v>
      </c>
      <c r="U13" s="45">
        <f t="shared" si="1"/>
        <v>28754</v>
      </c>
      <c r="V13" s="45">
        <f t="shared" si="1"/>
        <v>40056</v>
      </c>
      <c r="W13" s="45">
        <f t="shared" si="1"/>
        <v>32133</v>
      </c>
      <c r="X13" s="45">
        <f>X14++X55++X66</f>
        <v>54845.790836</v>
      </c>
      <c r="Y13" s="45">
        <f>Y14++Y55++Y66</f>
        <v>-2407.413096</v>
      </c>
      <c r="Z13" s="43"/>
    </row>
    <row r="14" spans="1:26" ht="16.5">
      <c r="A14" s="39" t="s">
        <v>5</v>
      </c>
      <c r="B14" s="40" t="s">
        <v>106</v>
      </c>
      <c r="C14" s="39"/>
      <c r="D14" s="40"/>
      <c r="E14" s="41"/>
      <c r="F14" s="42"/>
      <c r="G14" s="41"/>
      <c r="H14" s="42"/>
      <c r="I14" s="41"/>
      <c r="J14" s="41"/>
      <c r="K14" s="41"/>
      <c r="L14" s="41">
        <f aca="true" t="shared" si="2" ref="L14:Y14">L15+L30+L38+L39+L43</f>
        <v>74679.966625</v>
      </c>
      <c r="M14" s="41">
        <f t="shared" si="2"/>
        <v>74679.966625</v>
      </c>
      <c r="N14" s="41">
        <f t="shared" si="2"/>
        <v>0</v>
      </c>
      <c r="O14" s="41">
        <f t="shared" si="2"/>
        <v>127118.530625</v>
      </c>
      <c r="P14" s="41">
        <f t="shared" si="2"/>
        <v>127118.530625</v>
      </c>
      <c r="Q14" s="41">
        <f t="shared" si="2"/>
        <v>0</v>
      </c>
      <c r="R14" s="41">
        <f t="shared" si="2"/>
        <v>127119</v>
      </c>
      <c r="S14" s="41">
        <f t="shared" si="2"/>
        <v>14050</v>
      </c>
      <c r="T14" s="41">
        <f t="shared" si="2"/>
        <v>18169</v>
      </c>
      <c r="U14" s="41">
        <f t="shared" si="2"/>
        <v>24501</v>
      </c>
      <c r="V14" s="41">
        <f t="shared" si="2"/>
        <v>37135</v>
      </c>
      <c r="W14" s="41">
        <f t="shared" si="2"/>
        <v>30889</v>
      </c>
      <c r="X14" s="41">
        <f t="shared" si="2"/>
        <v>53808.677096</v>
      </c>
      <c r="Y14" s="41">
        <f t="shared" si="2"/>
        <v>-1370.113096</v>
      </c>
      <c r="Z14" s="39"/>
    </row>
    <row r="15" spans="1:26" ht="16.5">
      <c r="A15" s="32">
        <v>1</v>
      </c>
      <c r="B15" s="33" t="s">
        <v>78</v>
      </c>
      <c r="C15" s="32"/>
      <c r="D15" s="33"/>
      <c r="E15" s="34"/>
      <c r="F15" s="35"/>
      <c r="G15" s="34"/>
      <c r="H15" s="35"/>
      <c r="I15" s="34"/>
      <c r="J15" s="34"/>
      <c r="K15" s="34"/>
      <c r="L15" s="34">
        <f aca="true" t="shared" si="3" ref="L15:Y15">SUM(L16:L29)</f>
        <v>31739.835</v>
      </c>
      <c r="M15" s="34">
        <f t="shared" si="3"/>
        <v>31739.835</v>
      </c>
      <c r="N15" s="34">
        <f t="shared" si="3"/>
        <v>0</v>
      </c>
      <c r="O15" s="34">
        <f t="shared" si="3"/>
        <v>31739.835</v>
      </c>
      <c r="P15" s="34">
        <f t="shared" si="3"/>
        <v>31739.835</v>
      </c>
      <c r="Q15" s="34">
        <f t="shared" si="3"/>
        <v>0</v>
      </c>
      <c r="R15" s="34">
        <f t="shared" si="3"/>
        <v>31740</v>
      </c>
      <c r="S15" s="34">
        <f t="shared" si="3"/>
        <v>5200</v>
      </c>
      <c r="T15" s="34">
        <f t="shared" si="3"/>
        <v>5720</v>
      </c>
      <c r="U15" s="34">
        <f t="shared" si="3"/>
        <v>5720</v>
      </c>
      <c r="V15" s="34">
        <f t="shared" si="3"/>
        <v>7493</v>
      </c>
      <c r="W15" s="34">
        <f t="shared" si="3"/>
        <v>5232</v>
      </c>
      <c r="X15" s="34">
        <f t="shared" si="3"/>
        <v>1370.610096</v>
      </c>
      <c r="Y15" s="34">
        <f t="shared" si="3"/>
        <v>-1370.6100959999999</v>
      </c>
      <c r="Z15" s="32"/>
    </row>
    <row r="16" spans="1:32" s="38" customFormat="1" ht="33">
      <c r="A16" s="15" t="s">
        <v>23</v>
      </c>
      <c r="B16" s="22" t="s">
        <v>24</v>
      </c>
      <c r="C16" s="20" t="s">
        <v>21</v>
      </c>
      <c r="D16" s="20" t="s">
        <v>25</v>
      </c>
      <c r="E16" s="20" t="s">
        <v>26</v>
      </c>
      <c r="F16" s="20" t="s">
        <v>157</v>
      </c>
      <c r="G16" s="21">
        <v>5158.721</v>
      </c>
      <c r="H16" s="25"/>
      <c r="I16" s="18"/>
      <c r="J16" s="18">
        <v>0</v>
      </c>
      <c r="K16" s="18">
        <v>0</v>
      </c>
      <c r="L16" s="18">
        <v>5158.721</v>
      </c>
      <c r="M16" s="18">
        <v>5158.721</v>
      </c>
      <c r="N16" s="18"/>
      <c r="O16" s="18">
        <v>4379.0289999999995</v>
      </c>
      <c r="P16" s="18">
        <v>4379.0289999999995</v>
      </c>
      <c r="Q16" s="18"/>
      <c r="R16" s="18">
        <f>SUM(S16:W16)</f>
        <v>4379</v>
      </c>
      <c r="S16" s="18">
        <v>3692</v>
      </c>
      <c r="T16" s="18">
        <f>1467-780</f>
        <v>687</v>
      </c>
      <c r="U16" s="18"/>
      <c r="V16" s="18"/>
      <c r="W16" s="18"/>
      <c r="X16" s="18">
        <v>0</v>
      </c>
      <c r="Y16" s="18">
        <v>-779.692</v>
      </c>
      <c r="Z16" s="17" t="s">
        <v>160</v>
      </c>
      <c r="AB16" s="245" t="s">
        <v>160</v>
      </c>
      <c r="AC16" s="245"/>
      <c r="AD16" s="245"/>
      <c r="AE16" s="245"/>
      <c r="AF16" s="245"/>
    </row>
    <row r="17" spans="1:26" s="38" customFormat="1" ht="33">
      <c r="A17" s="15" t="s">
        <v>23</v>
      </c>
      <c r="B17" s="22" t="s">
        <v>29</v>
      </c>
      <c r="C17" s="20" t="s">
        <v>21</v>
      </c>
      <c r="D17" s="20" t="s">
        <v>31</v>
      </c>
      <c r="E17" s="20" t="s">
        <v>161</v>
      </c>
      <c r="F17" s="20" t="s">
        <v>96</v>
      </c>
      <c r="G17" s="21">
        <v>886.5</v>
      </c>
      <c r="H17" s="23"/>
      <c r="I17" s="21"/>
      <c r="J17" s="21">
        <v>0</v>
      </c>
      <c r="K17" s="21">
        <v>0</v>
      </c>
      <c r="L17" s="21">
        <v>586.5</v>
      </c>
      <c r="M17" s="21">
        <v>586.5</v>
      </c>
      <c r="N17" s="21"/>
      <c r="O17" s="21">
        <v>586.5</v>
      </c>
      <c r="P17" s="21">
        <v>586.5</v>
      </c>
      <c r="Q17" s="18"/>
      <c r="R17" s="18">
        <f aca="true" t="shared" si="4" ref="R17:R28">SUM(S17:W17)</f>
        <v>587</v>
      </c>
      <c r="S17" s="18">
        <v>587</v>
      </c>
      <c r="T17" s="18"/>
      <c r="U17" s="18"/>
      <c r="V17" s="18"/>
      <c r="W17" s="18"/>
      <c r="X17" s="18">
        <v>0</v>
      </c>
      <c r="Y17" s="18">
        <v>0</v>
      </c>
      <c r="Z17" s="15"/>
    </row>
    <row r="18" spans="1:26" s="38" customFormat="1" ht="33">
      <c r="A18" s="15" t="s">
        <v>23</v>
      </c>
      <c r="B18" s="22" t="s">
        <v>30</v>
      </c>
      <c r="C18" s="20" t="s">
        <v>21</v>
      </c>
      <c r="D18" s="20" t="s">
        <v>31</v>
      </c>
      <c r="E18" s="20">
        <v>2016</v>
      </c>
      <c r="F18" s="20" t="s">
        <v>35</v>
      </c>
      <c r="G18" s="21">
        <v>921.3</v>
      </c>
      <c r="H18" s="23"/>
      <c r="I18" s="21"/>
      <c r="J18" s="21">
        <v>0</v>
      </c>
      <c r="K18" s="21">
        <v>0</v>
      </c>
      <c r="L18" s="21">
        <v>921.3</v>
      </c>
      <c r="M18" s="21">
        <v>921.3</v>
      </c>
      <c r="N18" s="21"/>
      <c r="O18" s="21">
        <v>921.3</v>
      </c>
      <c r="P18" s="21">
        <v>921.3</v>
      </c>
      <c r="Q18" s="18"/>
      <c r="R18" s="18">
        <f t="shared" si="4"/>
        <v>921</v>
      </c>
      <c r="S18" s="18">
        <v>921</v>
      </c>
      <c r="T18" s="18"/>
      <c r="U18" s="18"/>
      <c r="V18" s="18"/>
      <c r="W18" s="18"/>
      <c r="X18" s="18">
        <v>0</v>
      </c>
      <c r="Y18" s="18">
        <v>0</v>
      </c>
      <c r="Z18" s="51"/>
    </row>
    <row r="19" spans="1:32" s="38" customFormat="1" ht="82.5">
      <c r="A19" s="20" t="s">
        <v>23</v>
      </c>
      <c r="B19" s="22" t="s">
        <v>27</v>
      </c>
      <c r="C19" s="20" t="s">
        <v>21</v>
      </c>
      <c r="D19" s="20" t="s">
        <v>25</v>
      </c>
      <c r="E19" s="20" t="s">
        <v>26</v>
      </c>
      <c r="F19" s="20" t="s">
        <v>28</v>
      </c>
      <c r="G19" s="21">
        <v>3632.298345</v>
      </c>
      <c r="H19" s="23" t="s">
        <v>163</v>
      </c>
      <c r="I19" s="21">
        <v>3632.298739</v>
      </c>
      <c r="J19" s="21">
        <v>0</v>
      </c>
      <c r="K19" s="21">
        <v>0</v>
      </c>
      <c r="L19" s="21">
        <v>1432</v>
      </c>
      <c r="M19" s="21">
        <v>1432</v>
      </c>
      <c r="N19" s="21"/>
      <c r="O19" s="21">
        <f>1432-590.918096</f>
        <v>841.081904</v>
      </c>
      <c r="P19" s="21">
        <f>1432-590.918096</f>
        <v>841.081904</v>
      </c>
      <c r="Q19" s="21"/>
      <c r="R19" s="18">
        <f t="shared" si="4"/>
        <v>841</v>
      </c>
      <c r="S19" s="21"/>
      <c r="T19" s="21">
        <v>841</v>
      </c>
      <c r="U19" s="21"/>
      <c r="V19" s="21"/>
      <c r="W19" s="21"/>
      <c r="X19" s="21">
        <v>0</v>
      </c>
      <c r="Y19" s="21">
        <f>O19-L19</f>
        <v>-590.918096</v>
      </c>
      <c r="Z19" s="52" t="s">
        <v>212</v>
      </c>
      <c r="AB19" s="245" t="s">
        <v>162</v>
      </c>
      <c r="AC19" s="245"/>
      <c r="AD19" s="245"/>
      <c r="AE19" s="245"/>
      <c r="AF19" s="245"/>
    </row>
    <row r="20" spans="1:28" s="38" customFormat="1" ht="33">
      <c r="A20" s="17" t="s">
        <v>23</v>
      </c>
      <c r="B20" s="22" t="s">
        <v>164</v>
      </c>
      <c r="C20" s="20" t="s">
        <v>21</v>
      </c>
      <c r="D20" s="20" t="s">
        <v>25</v>
      </c>
      <c r="E20" s="20" t="s">
        <v>44</v>
      </c>
      <c r="F20" s="20" t="s">
        <v>36</v>
      </c>
      <c r="G20" s="21">
        <v>4015.314</v>
      </c>
      <c r="H20" s="23" t="s">
        <v>165</v>
      </c>
      <c r="I20" s="21">
        <v>4015.314</v>
      </c>
      <c r="J20" s="21">
        <v>0</v>
      </c>
      <c r="K20" s="21">
        <v>0</v>
      </c>
      <c r="L20" s="21">
        <v>4015.314</v>
      </c>
      <c r="M20" s="21">
        <v>4015.314</v>
      </c>
      <c r="N20" s="21"/>
      <c r="O20" s="21">
        <v>4015.314</v>
      </c>
      <c r="P20" s="21">
        <v>4015.314</v>
      </c>
      <c r="Q20" s="21"/>
      <c r="R20" s="18">
        <f t="shared" si="4"/>
        <v>4015</v>
      </c>
      <c r="S20" s="21"/>
      <c r="T20" s="21">
        <v>1998</v>
      </c>
      <c r="U20" s="21">
        <v>2017</v>
      </c>
      <c r="V20" s="21"/>
      <c r="W20" s="21"/>
      <c r="X20" s="21">
        <v>0</v>
      </c>
      <c r="Y20" s="21">
        <v>0</v>
      </c>
      <c r="Z20" s="52"/>
      <c r="AB20" s="31">
        <f>Y16+Y19</f>
        <v>-1370.6100959999999</v>
      </c>
    </row>
    <row r="21" spans="1:26" s="38" customFormat="1" ht="33">
      <c r="A21" s="15" t="s">
        <v>23</v>
      </c>
      <c r="B21" s="22" t="s">
        <v>32</v>
      </c>
      <c r="C21" s="20" t="s">
        <v>21</v>
      </c>
      <c r="D21" s="20" t="s">
        <v>31</v>
      </c>
      <c r="E21" s="20" t="s">
        <v>44</v>
      </c>
      <c r="F21" s="23" t="s">
        <v>34</v>
      </c>
      <c r="G21" s="21">
        <v>2293.440404</v>
      </c>
      <c r="H21" s="23" t="s">
        <v>166</v>
      </c>
      <c r="I21" s="21">
        <v>2293.440404</v>
      </c>
      <c r="J21" s="21">
        <v>0</v>
      </c>
      <c r="K21" s="21">
        <v>0</v>
      </c>
      <c r="L21" s="21">
        <v>2054</v>
      </c>
      <c r="M21" s="21">
        <v>2054</v>
      </c>
      <c r="N21" s="21"/>
      <c r="O21" s="21">
        <v>2054</v>
      </c>
      <c r="P21" s="21">
        <v>2054</v>
      </c>
      <c r="Q21" s="21"/>
      <c r="R21" s="18">
        <f t="shared" si="4"/>
        <v>2054</v>
      </c>
      <c r="S21" s="21"/>
      <c r="T21" s="21">
        <v>473</v>
      </c>
      <c r="U21" s="21">
        <v>1581</v>
      </c>
      <c r="V21" s="21"/>
      <c r="W21" s="21"/>
      <c r="X21" s="21">
        <v>0</v>
      </c>
      <c r="Y21" s="21">
        <v>0</v>
      </c>
      <c r="Z21" s="20"/>
    </row>
    <row r="22" spans="1:26" s="38" customFormat="1" ht="33">
      <c r="A22" s="15" t="s">
        <v>23</v>
      </c>
      <c r="B22" s="16" t="s">
        <v>94</v>
      </c>
      <c r="C22" s="17" t="s">
        <v>21</v>
      </c>
      <c r="D22" s="17" t="s">
        <v>25</v>
      </c>
      <c r="E22" s="18" t="s">
        <v>37</v>
      </c>
      <c r="F22" s="25" t="s">
        <v>154</v>
      </c>
      <c r="G22" s="18">
        <v>1590</v>
      </c>
      <c r="H22" s="25" t="s">
        <v>156</v>
      </c>
      <c r="I22" s="18">
        <v>1590</v>
      </c>
      <c r="J22" s="18">
        <v>0</v>
      </c>
      <c r="K22" s="18">
        <v>0</v>
      </c>
      <c r="L22" s="18">
        <f>1490+100</f>
        <v>1590</v>
      </c>
      <c r="M22" s="18">
        <f>1490+100</f>
        <v>1590</v>
      </c>
      <c r="N22" s="18"/>
      <c r="O22" s="18">
        <f>1490+100</f>
        <v>1590</v>
      </c>
      <c r="P22" s="18">
        <f>1490+100</f>
        <v>1590</v>
      </c>
      <c r="Q22" s="18"/>
      <c r="R22" s="18">
        <f t="shared" si="4"/>
        <v>1590</v>
      </c>
      <c r="S22" s="18"/>
      <c r="T22" s="18">
        <v>100</v>
      </c>
      <c r="U22" s="18">
        <v>650</v>
      </c>
      <c r="V22" s="18">
        <v>840</v>
      </c>
      <c r="W22" s="18"/>
      <c r="X22" s="18">
        <f>O22-L22</f>
        <v>0</v>
      </c>
      <c r="Y22" s="18">
        <f>O22-M22</f>
        <v>0</v>
      </c>
      <c r="Z22" s="17"/>
    </row>
    <row r="23" spans="1:26" s="38" customFormat="1" ht="33">
      <c r="A23" s="15" t="s">
        <v>23</v>
      </c>
      <c r="B23" s="16" t="s">
        <v>138</v>
      </c>
      <c r="C23" s="17" t="s">
        <v>21</v>
      </c>
      <c r="D23" s="17" t="s">
        <v>25</v>
      </c>
      <c r="E23" s="20" t="s">
        <v>37</v>
      </c>
      <c r="F23" s="25" t="s">
        <v>158</v>
      </c>
      <c r="G23" s="21">
        <v>1958</v>
      </c>
      <c r="H23" s="25" t="s">
        <v>159</v>
      </c>
      <c r="I23" s="18">
        <v>1958</v>
      </c>
      <c r="J23" s="18">
        <v>0</v>
      </c>
      <c r="K23" s="18">
        <v>0</v>
      </c>
      <c r="L23" s="18">
        <f>1858+100</f>
        <v>1958</v>
      </c>
      <c r="M23" s="18">
        <f>1858+100</f>
        <v>1958</v>
      </c>
      <c r="N23" s="18"/>
      <c r="O23" s="18">
        <f>1858+100</f>
        <v>1958</v>
      </c>
      <c r="P23" s="18">
        <f>1858+100</f>
        <v>1958</v>
      </c>
      <c r="Q23" s="18"/>
      <c r="R23" s="18">
        <f t="shared" si="4"/>
        <v>1958</v>
      </c>
      <c r="S23" s="18"/>
      <c r="T23" s="18">
        <v>100</v>
      </c>
      <c r="U23" s="18">
        <v>700</v>
      </c>
      <c r="V23" s="18">
        <v>1158</v>
      </c>
      <c r="W23" s="18"/>
      <c r="X23" s="18">
        <f>O23-L23</f>
        <v>0</v>
      </c>
      <c r="Y23" s="18">
        <f>O23-M23</f>
        <v>0</v>
      </c>
      <c r="Z23" s="17"/>
    </row>
    <row r="24" spans="1:26" s="38" customFormat="1" ht="33">
      <c r="A24" s="15" t="s">
        <v>23</v>
      </c>
      <c r="B24" s="16" t="s">
        <v>136</v>
      </c>
      <c r="C24" s="17" t="s">
        <v>21</v>
      </c>
      <c r="D24" s="17"/>
      <c r="E24" s="20" t="s">
        <v>140</v>
      </c>
      <c r="F24" s="25" t="s">
        <v>167</v>
      </c>
      <c r="G24" s="21">
        <v>2998</v>
      </c>
      <c r="H24" s="25"/>
      <c r="I24" s="18"/>
      <c r="J24" s="18">
        <v>0</v>
      </c>
      <c r="K24" s="18">
        <v>0</v>
      </c>
      <c r="L24" s="18">
        <f>2878+120</f>
        <v>2998</v>
      </c>
      <c r="M24" s="18">
        <f>2878+120</f>
        <v>2998</v>
      </c>
      <c r="N24" s="18"/>
      <c r="O24" s="18">
        <f>2878+120</f>
        <v>2998</v>
      </c>
      <c r="P24" s="18">
        <f>2878+120</f>
        <v>2998</v>
      </c>
      <c r="Q24" s="18"/>
      <c r="R24" s="18">
        <f t="shared" si="4"/>
        <v>2998</v>
      </c>
      <c r="S24" s="18"/>
      <c r="T24" s="18"/>
      <c r="U24" s="18"/>
      <c r="V24" s="18">
        <v>120</v>
      </c>
      <c r="W24" s="18">
        <v>2878</v>
      </c>
      <c r="X24" s="18">
        <v>0</v>
      </c>
      <c r="Y24" s="18">
        <v>0</v>
      </c>
      <c r="Z24" s="17"/>
    </row>
    <row r="25" spans="1:26" s="38" customFormat="1" ht="33">
      <c r="A25" s="24" t="s">
        <v>23</v>
      </c>
      <c r="B25" s="16" t="s">
        <v>137</v>
      </c>
      <c r="C25" s="17" t="s">
        <v>21</v>
      </c>
      <c r="D25" s="17"/>
      <c r="E25" s="20" t="s">
        <v>38</v>
      </c>
      <c r="F25" s="25" t="s">
        <v>167</v>
      </c>
      <c r="G25" s="18">
        <v>4422</v>
      </c>
      <c r="H25" s="25"/>
      <c r="I25" s="18"/>
      <c r="J25" s="18">
        <v>0</v>
      </c>
      <c r="K25" s="18">
        <v>0</v>
      </c>
      <c r="L25" s="18">
        <f>4272+150</f>
        <v>4422</v>
      </c>
      <c r="M25" s="18">
        <f>4272+150</f>
        <v>4422</v>
      </c>
      <c r="N25" s="18"/>
      <c r="O25" s="18">
        <f>4272+150</f>
        <v>4422</v>
      </c>
      <c r="P25" s="18">
        <f>4272+150</f>
        <v>4422</v>
      </c>
      <c r="Q25" s="18"/>
      <c r="R25" s="18">
        <f t="shared" si="4"/>
        <v>4422</v>
      </c>
      <c r="S25" s="18"/>
      <c r="T25" s="18"/>
      <c r="U25" s="18">
        <v>150</v>
      </c>
      <c r="V25" s="18">
        <v>2717</v>
      </c>
      <c r="W25" s="18">
        <v>1555</v>
      </c>
      <c r="X25" s="18"/>
      <c r="Y25" s="18"/>
      <c r="Z25" s="17"/>
    </row>
    <row r="26" spans="1:26" s="38" customFormat="1" ht="33">
      <c r="A26" s="24" t="s">
        <v>23</v>
      </c>
      <c r="B26" s="22" t="s">
        <v>139</v>
      </c>
      <c r="C26" s="17" t="s">
        <v>21</v>
      </c>
      <c r="D26" s="17" t="s">
        <v>25</v>
      </c>
      <c r="E26" s="20" t="s">
        <v>37</v>
      </c>
      <c r="F26" s="25" t="s">
        <v>170</v>
      </c>
      <c r="G26" s="18">
        <v>3780</v>
      </c>
      <c r="H26" s="25" t="s">
        <v>171</v>
      </c>
      <c r="I26" s="18">
        <v>3780</v>
      </c>
      <c r="J26" s="18">
        <v>0</v>
      </c>
      <c r="K26" s="18">
        <v>0</v>
      </c>
      <c r="L26" s="18">
        <v>610</v>
      </c>
      <c r="M26" s="18">
        <v>610</v>
      </c>
      <c r="N26" s="18"/>
      <c r="O26" s="18">
        <v>610</v>
      </c>
      <c r="P26" s="18">
        <v>610</v>
      </c>
      <c r="Q26" s="18"/>
      <c r="R26" s="18">
        <f t="shared" si="4"/>
        <v>1409</v>
      </c>
      <c r="S26" s="18"/>
      <c r="T26" s="18"/>
      <c r="U26" s="18"/>
      <c r="V26" s="18">
        <v>610</v>
      </c>
      <c r="W26" s="18">
        <v>799</v>
      </c>
      <c r="X26" s="18">
        <v>0</v>
      </c>
      <c r="Y26" s="18">
        <v>0</v>
      </c>
      <c r="Z26" s="17" t="s">
        <v>211</v>
      </c>
    </row>
    <row r="27" spans="1:26" s="38" customFormat="1" ht="33">
      <c r="A27" s="15" t="s">
        <v>23</v>
      </c>
      <c r="B27" s="16" t="s">
        <v>95</v>
      </c>
      <c r="C27" s="17" t="s">
        <v>21</v>
      </c>
      <c r="D27" s="17" t="s">
        <v>25</v>
      </c>
      <c r="E27" s="20" t="s">
        <v>37</v>
      </c>
      <c r="F27" s="25" t="s">
        <v>168</v>
      </c>
      <c r="G27" s="18">
        <v>5481.99</v>
      </c>
      <c r="H27" s="25" t="s">
        <v>169</v>
      </c>
      <c r="I27" s="18">
        <v>5481.99</v>
      </c>
      <c r="J27" s="18">
        <v>0</v>
      </c>
      <c r="K27" s="18">
        <v>0</v>
      </c>
      <c r="L27" s="18">
        <f>2670+150</f>
        <v>2820</v>
      </c>
      <c r="M27" s="18">
        <f>2670+150</f>
        <v>2820</v>
      </c>
      <c r="N27" s="18"/>
      <c r="O27" s="18">
        <f>2670+150</f>
        <v>2820</v>
      </c>
      <c r="P27" s="18">
        <f>2670+150</f>
        <v>2820</v>
      </c>
      <c r="Q27" s="18"/>
      <c r="R27" s="18">
        <f t="shared" si="4"/>
        <v>2820</v>
      </c>
      <c r="S27" s="18"/>
      <c r="T27" s="18">
        <v>150</v>
      </c>
      <c r="U27" s="18">
        <v>622</v>
      </c>
      <c r="V27" s="18">
        <v>2048</v>
      </c>
      <c r="W27" s="18"/>
      <c r="X27" s="18">
        <v>0</v>
      </c>
      <c r="Y27" s="18">
        <v>0</v>
      </c>
      <c r="Z27" s="51"/>
    </row>
    <row r="28" spans="1:32" s="38" customFormat="1" ht="99">
      <c r="A28" s="15" t="s">
        <v>23</v>
      </c>
      <c r="B28" s="16" t="s">
        <v>147</v>
      </c>
      <c r="C28" s="17" t="s">
        <v>21</v>
      </c>
      <c r="D28" s="17" t="s">
        <v>22</v>
      </c>
      <c r="E28" s="17" t="s">
        <v>44</v>
      </c>
      <c r="F28" s="25" t="s">
        <v>172</v>
      </c>
      <c r="G28" s="18">
        <v>9930.145</v>
      </c>
      <c r="H28" s="25" t="s">
        <v>173</v>
      </c>
      <c r="I28" s="18">
        <v>9930.145</v>
      </c>
      <c r="J28" s="18">
        <v>0</v>
      </c>
      <c r="K28" s="18">
        <v>0</v>
      </c>
      <c r="L28" s="18"/>
      <c r="M28" s="18"/>
      <c r="N28" s="18"/>
      <c r="O28" s="18">
        <v>1370.610096</v>
      </c>
      <c r="P28" s="18">
        <v>1370.610096</v>
      </c>
      <c r="Q28" s="18"/>
      <c r="R28" s="18">
        <f t="shared" si="4"/>
        <v>1371</v>
      </c>
      <c r="S28" s="18"/>
      <c r="T28" s="18">
        <v>1371</v>
      </c>
      <c r="U28" s="18"/>
      <c r="V28" s="18"/>
      <c r="W28" s="18"/>
      <c r="X28" s="18">
        <v>1370.610096</v>
      </c>
      <c r="Y28" s="18">
        <v>0</v>
      </c>
      <c r="Z28" s="53" t="s">
        <v>214</v>
      </c>
      <c r="AB28" s="245" t="s">
        <v>213</v>
      </c>
      <c r="AC28" s="245"/>
      <c r="AD28" s="245"/>
      <c r="AE28" s="245"/>
      <c r="AF28" s="245"/>
    </row>
    <row r="29" spans="1:32" s="38" customFormat="1" ht="49.5">
      <c r="A29" s="12" t="s">
        <v>23</v>
      </c>
      <c r="B29" s="54" t="s">
        <v>112</v>
      </c>
      <c r="C29" s="14"/>
      <c r="D29" s="14"/>
      <c r="E29" s="14"/>
      <c r="F29" s="30"/>
      <c r="G29" s="13"/>
      <c r="H29" s="30"/>
      <c r="I29" s="13"/>
      <c r="J29" s="13"/>
      <c r="K29" s="13"/>
      <c r="L29" s="13">
        <v>3174</v>
      </c>
      <c r="M29" s="13">
        <v>3174</v>
      </c>
      <c r="N29" s="13"/>
      <c r="O29" s="13">
        <v>3174</v>
      </c>
      <c r="P29" s="13">
        <v>3174</v>
      </c>
      <c r="Q29" s="13"/>
      <c r="R29" s="13">
        <v>2375</v>
      </c>
      <c r="S29" s="13"/>
      <c r="T29" s="13"/>
      <c r="U29" s="13"/>
      <c r="V29" s="13"/>
      <c r="W29" s="13"/>
      <c r="X29" s="13"/>
      <c r="Y29" s="13"/>
      <c r="Z29" s="55" t="s">
        <v>215</v>
      </c>
      <c r="AB29" s="37"/>
      <c r="AC29" s="37"/>
      <c r="AD29" s="37"/>
      <c r="AE29" s="37"/>
      <c r="AF29" s="37"/>
    </row>
    <row r="30" spans="1:26" ht="16.5">
      <c r="A30" s="32">
        <v>2</v>
      </c>
      <c r="B30" s="32" t="s">
        <v>80</v>
      </c>
      <c r="C30" s="32"/>
      <c r="D30" s="33"/>
      <c r="E30" s="34"/>
      <c r="F30" s="35"/>
      <c r="G30" s="34"/>
      <c r="H30" s="35"/>
      <c r="I30" s="34"/>
      <c r="J30" s="34"/>
      <c r="K30" s="34"/>
      <c r="L30" s="34">
        <f>SUM(L31:L37)</f>
        <v>14999.903544</v>
      </c>
      <c r="M30" s="34">
        <f aca="true" t="shared" si="5" ref="M30:Y30">SUM(M31:M37)</f>
        <v>14999.903544</v>
      </c>
      <c r="N30" s="34">
        <f t="shared" si="5"/>
        <v>0</v>
      </c>
      <c r="O30" s="34">
        <f t="shared" si="5"/>
        <v>14999.903544</v>
      </c>
      <c r="P30" s="34">
        <f t="shared" si="5"/>
        <v>14999.903544</v>
      </c>
      <c r="Q30" s="34">
        <f t="shared" si="5"/>
        <v>0</v>
      </c>
      <c r="R30" s="34">
        <f aca="true" t="shared" si="6" ref="R30:W30">SUM(R31:R37)</f>
        <v>15000</v>
      </c>
      <c r="S30" s="34">
        <f t="shared" si="6"/>
        <v>3000</v>
      </c>
      <c r="T30" s="34">
        <f t="shared" si="6"/>
        <v>3000</v>
      </c>
      <c r="U30" s="34">
        <f t="shared" si="6"/>
        <v>3000</v>
      </c>
      <c r="V30" s="34">
        <f t="shared" si="6"/>
        <v>3000</v>
      </c>
      <c r="W30" s="34">
        <f t="shared" si="6"/>
        <v>3000</v>
      </c>
      <c r="X30" s="34">
        <f t="shared" si="5"/>
        <v>0</v>
      </c>
      <c r="Y30" s="34">
        <f t="shared" si="5"/>
        <v>0</v>
      </c>
      <c r="Z30" s="32"/>
    </row>
    <row r="31" spans="1:26" s="38" customFormat="1" ht="33">
      <c r="A31" s="15" t="s">
        <v>23</v>
      </c>
      <c r="B31" s="22" t="s">
        <v>52</v>
      </c>
      <c r="C31" s="17" t="s">
        <v>21</v>
      </c>
      <c r="D31" s="17" t="s">
        <v>43</v>
      </c>
      <c r="E31" s="18" t="s">
        <v>37</v>
      </c>
      <c r="F31" s="25" t="s">
        <v>58</v>
      </c>
      <c r="G31" s="18">
        <v>3214.313324</v>
      </c>
      <c r="H31" s="25" t="s">
        <v>175</v>
      </c>
      <c r="I31" s="18">
        <v>3214.313324</v>
      </c>
      <c r="J31" s="18">
        <v>0</v>
      </c>
      <c r="K31" s="18">
        <v>0</v>
      </c>
      <c r="L31" s="18">
        <f>3114.313324+100</f>
        <v>3214.313324</v>
      </c>
      <c r="M31" s="18">
        <f>3114.313324+100</f>
        <v>3214.313324</v>
      </c>
      <c r="N31" s="18"/>
      <c r="O31" s="18">
        <f>3114.313324+100</f>
        <v>3214.313324</v>
      </c>
      <c r="P31" s="18">
        <f>3114.313324+100</f>
        <v>3214.313324</v>
      </c>
      <c r="Q31" s="18"/>
      <c r="R31" s="18">
        <f>SUM(S31:W31)</f>
        <v>3214</v>
      </c>
      <c r="S31" s="18">
        <v>100</v>
      </c>
      <c r="T31" s="18"/>
      <c r="U31" s="18">
        <v>675</v>
      </c>
      <c r="V31" s="18">
        <v>2439</v>
      </c>
      <c r="W31" s="18"/>
      <c r="X31" s="18">
        <v>0</v>
      </c>
      <c r="Y31" s="18">
        <v>0</v>
      </c>
      <c r="Z31" s="15"/>
    </row>
    <row r="32" spans="1:26" s="38" customFormat="1" ht="33">
      <c r="A32" s="15" t="s">
        <v>23</v>
      </c>
      <c r="B32" s="22" t="s">
        <v>53</v>
      </c>
      <c r="C32" s="17" t="s">
        <v>21</v>
      </c>
      <c r="D32" s="17" t="s">
        <v>25</v>
      </c>
      <c r="E32" s="18" t="s">
        <v>140</v>
      </c>
      <c r="F32" s="23" t="s">
        <v>59</v>
      </c>
      <c r="G32" s="18">
        <v>2985.722541</v>
      </c>
      <c r="H32" s="25"/>
      <c r="I32" s="18"/>
      <c r="J32" s="18"/>
      <c r="K32" s="18"/>
      <c r="L32" s="18">
        <f>2885.722541+100</f>
        <v>2985.722541</v>
      </c>
      <c r="M32" s="18">
        <f>2885.722541+100</f>
        <v>2985.722541</v>
      </c>
      <c r="N32" s="18"/>
      <c r="O32" s="18">
        <f>2885.722541+100</f>
        <v>2985.722541</v>
      </c>
      <c r="P32" s="18">
        <f>2885.722541+100</f>
        <v>2985.722541</v>
      </c>
      <c r="Q32" s="18"/>
      <c r="R32" s="18">
        <f aca="true" t="shared" si="7" ref="R32:R37">SUM(S32:W32)</f>
        <v>2986</v>
      </c>
      <c r="S32" s="18">
        <v>100</v>
      </c>
      <c r="T32" s="18"/>
      <c r="U32" s="18"/>
      <c r="V32" s="18"/>
      <c r="W32" s="18">
        <v>2886</v>
      </c>
      <c r="X32" s="18"/>
      <c r="Y32" s="18"/>
      <c r="Z32" s="15"/>
    </row>
    <row r="33" spans="1:26" s="38" customFormat="1" ht="33">
      <c r="A33" s="15" t="s">
        <v>23</v>
      </c>
      <c r="B33" s="22" t="s">
        <v>54</v>
      </c>
      <c r="C33" s="17" t="s">
        <v>21</v>
      </c>
      <c r="D33" s="17" t="s">
        <v>31</v>
      </c>
      <c r="E33" s="18" t="s">
        <v>44</v>
      </c>
      <c r="F33" s="23" t="s">
        <v>60</v>
      </c>
      <c r="G33" s="18">
        <v>3386.867679</v>
      </c>
      <c r="H33" s="25" t="s">
        <v>176</v>
      </c>
      <c r="I33" s="18">
        <v>3386.867679</v>
      </c>
      <c r="J33" s="18">
        <v>0</v>
      </c>
      <c r="K33" s="18">
        <v>0</v>
      </c>
      <c r="L33" s="18">
        <f>3286.867679+100</f>
        <v>3386.867679</v>
      </c>
      <c r="M33" s="18">
        <f>3286.867679+100</f>
        <v>3386.867679</v>
      </c>
      <c r="N33" s="18"/>
      <c r="O33" s="18">
        <f>3286.867679+100</f>
        <v>3386.867679</v>
      </c>
      <c r="P33" s="18">
        <f>3286.867679+100</f>
        <v>3386.867679</v>
      </c>
      <c r="Q33" s="18"/>
      <c r="R33" s="18">
        <f t="shared" si="7"/>
        <v>3387</v>
      </c>
      <c r="S33" s="18">
        <v>100</v>
      </c>
      <c r="T33" s="18">
        <v>1062</v>
      </c>
      <c r="U33" s="18">
        <v>2225</v>
      </c>
      <c r="V33" s="18"/>
      <c r="W33" s="18"/>
      <c r="X33" s="18">
        <v>0</v>
      </c>
      <c r="Y33" s="18">
        <v>0</v>
      </c>
      <c r="Z33" s="15"/>
    </row>
    <row r="34" spans="1:26" s="38" customFormat="1" ht="33">
      <c r="A34" s="15" t="s">
        <v>23</v>
      </c>
      <c r="B34" s="22" t="s">
        <v>55</v>
      </c>
      <c r="C34" s="17" t="s">
        <v>21</v>
      </c>
      <c r="D34" s="17" t="s">
        <v>31</v>
      </c>
      <c r="E34" s="25" t="s">
        <v>100</v>
      </c>
      <c r="F34" s="23" t="s">
        <v>178</v>
      </c>
      <c r="G34" s="18">
        <v>1600</v>
      </c>
      <c r="H34" s="25" t="s">
        <v>63</v>
      </c>
      <c r="I34" s="18">
        <v>1600</v>
      </c>
      <c r="J34" s="18">
        <v>0</v>
      </c>
      <c r="K34" s="18">
        <v>0</v>
      </c>
      <c r="L34" s="18">
        <v>1600</v>
      </c>
      <c r="M34" s="18">
        <v>1600</v>
      </c>
      <c r="N34" s="18"/>
      <c r="O34" s="18">
        <v>1600</v>
      </c>
      <c r="P34" s="18">
        <v>1600</v>
      </c>
      <c r="Q34" s="18"/>
      <c r="R34" s="18">
        <f t="shared" si="7"/>
        <v>1600</v>
      </c>
      <c r="S34" s="18">
        <v>900</v>
      </c>
      <c r="T34" s="18">
        <v>700</v>
      </c>
      <c r="U34" s="18"/>
      <c r="V34" s="18"/>
      <c r="W34" s="18"/>
      <c r="X34" s="18">
        <v>0</v>
      </c>
      <c r="Y34" s="18">
        <v>0</v>
      </c>
      <c r="Z34" s="15"/>
    </row>
    <row r="35" spans="1:26" s="38" customFormat="1" ht="33">
      <c r="A35" s="15" t="s">
        <v>23</v>
      </c>
      <c r="B35" s="22" t="s">
        <v>56</v>
      </c>
      <c r="C35" s="17" t="s">
        <v>21</v>
      </c>
      <c r="D35" s="17" t="s">
        <v>43</v>
      </c>
      <c r="E35" s="25" t="s">
        <v>100</v>
      </c>
      <c r="F35" s="23" t="s">
        <v>177</v>
      </c>
      <c r="G35" s="18">
        <v>1530</v>
      </c>
      <c r="H35" s="25" t="s">
        <v>62</v>
      </c>
      <c r="I35" s="18">
        <v>1530</v>
      </c>
      <c r="J35" s="18">
        <v>0</v>
      </c>
      <c r="K35" s="18">
        <v>0</v>
      </c>
      <c r="L35" s="18">
        <v>1530</v>
      </c>
      <c r="M35" s="18">
        <v>1530</v>
      </c>
      <c r="N35" s="18"/>
      <c r="O35" s="18">
        <v>1530</v>
      </c>
      <c r="P35" s="18">
        <v>1530</v>
      </c>
      <c r="Q35" s="18"/>
      <c r="R35" s="18">
        <f t="shared" si="7"/>
        <v>1530</v>
      </c>
      <c r="S35" s="18">
        <v>900</v>
      </c>
      <c r="T35" s="18">
        <v>630</v>
      </c>
      <c r="U35" s="18"/>
      <c r="V35" s="18"/>
      <c r="W35" s="18"/>
      <c r="X35" s="18">
        <v>0</v>
      </c>
      <c r="Y35" s="18">
        <v>0</v>
      </c>
      <c r="Z35" s="15"/>
    </row>
    <row r="36" spans="1:26" s="38" customFormat="1" ht="33">
      <c r="A36" s="15" t="s">
        <v>23</v>
      </c>
      <c r="B36" s="22" t="s">
        <v>57</v>
      </c>
      <c r="C36" s="17" t="s">
        <v>21</v>
      </c>
      <c r="D36" s="17" t="s">
        <v>25</v>
      </c>
      <c r="E36" s="25" t="s">
        <v>100</v>
      </c>
      <c r="F36" s="23" t="s">
        <v>179</v>
      </c>
      <c r="G36" s="18">
        <v>1508</v>
      </c>
      <c r="H36" s="23" t="s">
        <v>61</v>
      </c>
      <c r="I36" s="18">
        <v>1508</v>
      </c>
      <c r="J36" s="18">
        <v>0</v>
      </c>
      <c r="K36" s="18">
        <v>0</v>
      </c>
      <c r="L36" s="18">
        <v>1508</v>
      </c>
      <c r="M36" s="18">
        <v>1508</v>
      </c>
      <c r="N36" s="18"/>
      <c r="O36" s="18">
        <v>1508</v>
      </c>
      <c r="P36" s="18">
        <v>1508</v>
      </c>
      <c r="Q36" s="18"/>
      <c r="R36" s="18">
        <f t="shared" si="7"/>
        <v>1508</v>
      </c>
      <c r="S36" s="18">
        <v>900</v>
      </c>
      <c r="T36" s="18">
        <v>608</v>
      </c>
      <c r="U36" s="18"/>
      <c r="V36" s="18"/>
      <c r="W36" s="18"/>
      <c r="X36" s="18">
        <v>0</v>
      </c>
      <c r="Y36" s="18">
        <v>0</v>
      </c>
      <c r="Z36" s="15"/>
    </row>
    <row r="37" spans="1:26" s="38" customFormat="1" ht="33">
      <c r="A37" s="15" t="s">
        <v>23</v>
      </c>
      <c r="B37" s="22" t="s">
        <v>141</v>
      </c>
      <c r="C37" s="17" t="s">
        <v>21</v>
      </c>
      <c r="D37" s="17" t="s">
        <v>31</v>
      </c>
      <c r="E37" s="18" t="s">
        <v>38</v>
      </c>
      <c r="F37" s="25" t="s">
        <v>167</v>
      </c>
      <c r="G37" s="18">
        <v>775</v>
      </c>
      <c r="H37" s="25"/>
      <c r="I37" s="18"/>
      <c r="J37" s="18">
        <v>0</v>
      </c>
      <c r="K37" s="18">
        <v>0</v>
      </c>
      <c r="L37" s="18">
        <f>M37</f>
        <v>775</v>
      </c>
      <c r="M37" s="18">
        <f>675+100</f>
        <v>775</v>
      </c>
      <c r="N37" s="18"/>
      <c r="O37" s="18">
        <f>P37</f>
        <v>775</v>
      </c>
      <c r="P37" s="18">
        <f>675+100</f>
        <v>775</v>
      </c>
      <c r="Q37" s="18"/>
      <c r="R37" s="18">
        <f t="shared" si="7"/>
        <v>775</v>
      </c>
      <c r="S37" s="18"/>
      <c r="T37" s="18"/>
      <c r="U37" s="18">
        <v>100</v>
      </c>
      <c r="V37" s="18">
        <v>561</v>
      </c>
      <c r="W37" s="18">
        <v>114</v>
      </c>
      <c r="X37" s="18"/>
      <c r="Y37" s="18"/>
      <c r="Z37" s="51"/>
    </row>
    <row r="38" spans="1:26" ht="16.5">
      <c r="A38" s="32">
        <v>3</v>
      </c>
      <c r="B38" s="32" t="s">
        <v>81</v>
      </c>
      <c r="C38" s="32"/>
      <c r="D38" s="33"/>
      <c r="E38" s="34"/>
      <c r="F38" s="35"/>
      <c r="G38" s="34"/>
      <c r="H38" s="35"/>
      <c r="I38" s="34"/>
      <c r="J38" s="34"/>
      <c r="K38" s="34"/>
      <c r="L38" s="34">
        <v>2100</v>
      </c>
      <c r="M38" s="34">
        <v>2100</v>
      </c>
      <c r="N38" s="34"/>
      <c r="O38" s="34">
        <v>2100</v>
      </c>
      <c r="P38" s="34">
        <v>2100</v>
      </c>
      <c r="Q38" s="34"/>
      <c r="R38" s="34">
        <f>SUM(S38:W38)</f>
        <v>2100</v>
      </c>
      <c r="S38" s="34">
        <v>2100</v>
      </c>
      <c r="T38" s="34">
        <v>0</v>
      </c>
      <c r="U38" s="34">
        <v>0</v>
      </c>
      <c r="V38" s="34">
        <v>0</v>
      </c>
      <c r="W38" s="34">
        <v>0</v>
      </c>
      <c r="X38" s="34"/>
      <c r="Y38" s="34"/>
      <c r="Z38" s="32"/>
    </row>
    <row r="39" spans="1:26" ht="33">
      <c r="A39" s="32">
        <v>4</v>
      </c>
      <c r="B39" s="33" t="s">
        <v>181</v>
      </c>
      <c r="C39" s="32"/>
      <c r="D39" s="33"/>
      <c r="E39" s="34"/>
      <c r="F39" s="35"/>
      <c r="G39" s="34"/>
      <c r="H39" s="35"/>
      <c r="I39" s="34"/>
      <c r="J39" s="34"/>
      <c r="K39" s="34"/>
      <c r="L39" s="34">
        <f>SUM(L40:L42)</f>
        <v>5840.083081000001</v>
      </c>
      <c r="M39" s="34">
        <f aca="true" t="shared" si="8" ref="M39:Y39">SUM(M40:M42)</f>
        <v>5840.083081000001</v>
      </c>
      <c r="N39" s="34">
        <f t="shared" si="8"/>
        <v>0</v>
      </c>
      <c r="O39" s="34">
        <f t="shared" si="8"/>
        <v>5840.083081000001</v>
      </c>
      <c r="P39" s="34">
        <f t="shared" si="8"/>
        <v>5840.083081000001</v>
      </c>
      <c r="Q39" s="34">
        <f t="shared" si="8"/>
        <v>0</v>
      </c>
      <c r="R39" s="34">
        <f aca="true" t="shared" si="9" ref="R39:W39">SUM(R40:R42)</f>
        <v>5840</v>
      </c>
      <c r="S39" s="34">
        <f t="shared" si="9"/>
        <v>3750</v>
      </c>
      <c r="T39" s="34">
        <f t="shared" si="9"/>
        <v>2090</v>
      </c>
      <c r="U39" s="34">
        <f t="shared" si="9"/>
        <v>0</v>
      </c>
      <c r="V39" s="34">
        <f t="shared" si="9"/>
        <v>0</v>
      </c>
      <c r="W39" s="34">
        <f t="shared" si="9"/>
        <v>0</v>
      </c>
      <c r="X39" s="34">
        <f t="shared" si="8"/>
        <v>0</v>
      </c>
      <c r="Y39" s="34">
        <f t="shared" si="8"/>
        <v>0</v>
      </c>
      <c r="Z39" s="32"/>
    </row>
    <row r="40" spans="1:26" s="38" customFormat="1" ht="33">
      <c r="A40" s="15" t="s">
        <v>23</v>
      </c>
      <c r="B40" s="22" t="s">
        <v>65</v>
      </c>
      <c r="C40" s="17" t="s">
        <v>21</v>
      </c>
      <c r="D40" s="17" t="s">
        <v>31</v>
      </c>
      <c r="E40" s="25" t="s">
        <v>26</v>
      </c>
      <c r="F40" s="25" t="s">
        <v>183</v>
      </c>
      <c r="G40" s="18">
        <v>4965.300745</v>
      </c>
      <c r="H40" s="25" t="s">
        <v>67</v>
      </c>
      <c r="I40" s="18">
        <v>4965.300745</v>
      </c>
      <c r="J40" s="18">
        <v>0</v>
      </c>
      <c r="K40" s="18">
        <v>0</v>
      </c>
      <c r="L40" s="18">
        <f>M40</f>
        <v>2146</v>
      </c>
      <c r="M40" s="18">
        <v>2146</v>
      </c>
      <c r="N40" s="18"/>
      <c r="O40" s="18">
        <f>P40</f>
        <v>2146</v>
      </c>
      <c r="P40" s="18">
        <v>2146</v>
      </c>
      <c r="Q40" s="18"/>
      <c r="R40" s="18">
        <f>SUM(S40:W40)</f>
        <v>2146</v>
      </c>
      <c r="S40" s="18">
        <v>2050</v>
      </c>
      <c r="T40" s="18">
        <v>96</v>
      </c>
      <c r="U40" s="18"/>
      <c r="V40" s="18"/>
      <c r="W40" s="18"/>
      <c r="X40" s="18">
        <v>0</v>
      </c>
      <c r="Y40" s="18">
        <v>0</v>
      </c>
      <c r="Z40" s="15"/>
    </row>
    <row r="41" spans="1:26" s="38" customFormat="1" ht="33">
      <c r="A41" s="15" t="s">
        <v>23</v>
      </c>
      <c r="B41" s="22" t="s">
        <v>64</v>
      </c>
      <c r="C41" s="17" t="s">
        <v>21</v>
      </c>
      <c r="D41" s="17" t="s">
        <v>25</v>
      </c>
      <c r="E41" s="25" t="s">
        <v>26</v>
      </c>
      <c r="F41" s="25" t="s">
        <v>182</v>
      </c>
      <c r="G41" s="18">
        <v>3455.083081</v>
      </c>
      <c r="H41" s="25" t="s">
        <v>68</v>
      </c>
      <c r="I41" s="18">
        <v>3455.083082</v>
      </c>
      <c r="J41" s="18">
        <v>0</v>
      </c>
      <c r="K41" s="18">
        <v>0</v>
      </c>
      <c r="L41" s="18">
        <v>3455.083081</v>
      </c>
      <c r="M41" s="18">
        <v>3455.083081</v>
      </c>
      <c r="N41" s="18"/>
      <c r="O41" s="18">
        <v>3455.083081</v>
      </c>
      <c r="P41" s="18">
        <v>3455.083081</v>
      </c>
      <c r="Q41" s="18"/>
      <c r="R41" s="18">
        <f>SUM(S41:W41)</f>
        <v>3455</v>
      </c>
      <c r="S41" s="18">
        <v>1700</v>
      </c>
      <c r="T41" s="18">
        <v>1755</v>
      </c>
      <c r="U41" s="18"/>
      <c r="V41" s="18"/>
      <c r="W41" s="18"/>
      <c r="X41" s="18">
        <v>0</v>
      </c>
      <c r="Y41" s="18">
        <v>0</v>
      </c>
      <c r="Z41" s="15"/>
    </row>
    <row r="42" spans="1:27" s="38" customFormat="1" ht="33">
      <c r="A42" s="15" t="s">
        <v>23</v>
      </c>
      <c r="B42" s="22" t="s">
        <v>66</v>
      </c>
      <c r="C42" s="20" t="s">
        <v>21</v>
      </c>
      <c r="D42" s="20" t="s">
        <v>31</v>
      </c>
      <c r="E42" s="20" t="s">
        <v>44</v>
      </c>
      <c r="F42" s="23" t="s">
        <v>34</v>
      </c>
      <c r="G42" s="21">
        <v>2293.440404</v>
      </c>
      <c r="H42" s="23" t="s">
        <v>166</v>
      </c>
      <c r="I42" s="21">
        <v>2293.440404</v>
      </c>
      <c r="J42" s="21">
        <v>0</v>
      </c>
      <c r="K42" s="21">
        <v>0</v>
      </c>
      <c r="L42" s="18">
        <v>239</v>
      </c>
      <c r="M42" s="18">
        <v>239</v>
      </c>
      <c r="N42" s="18"/>
      <c r="O42" s="18">
        <v>239</v>
      </c>
      <c r="P42" s="18">
        <v>239</v>
      </c>
      <c r="Q42" s="18"/>
      <c r="R42" s="18">
        <f>SUM(S42:W42)</f>
        <v>239</v>
      </c>
      <c r="S42" s="18"/>
      <c r="T42" s="18">
        <v>239</v>
      </c>
      <c r="U42" s="18"/>
      <c r="V42" s="18"/>
      <c r="W42" s="18"/>
      <c r="X42" s="18">
        <v>0</v>
      </c>
      <c r="Y42" s="18">
        <v>0</v>
      </c>
      <c r="Z42" s="15"/>
      <c r="AA42" s="31"/>
    </row>
    <row r="43" spans="1:26" ht="16.5">
      <c r="A43" s="32">
        <v>5</v>
      </c>
      <c r="B43" s="32" t="s">
        <v>82</v>
      </c>
      <c r="C43" s="32"/>
      <c r="D43" s="33"/>
      <c r="E43" s="34"/>
      <c r="F43" s="35"/>
      <c r="G43" s="34"/>
      <c r="H43" s="35"/>
      <c r="I43" s="34"/>
      <c r="J43" s="34"/>
      <c r="K43" s="34"/>
      <c r="L43" s="34">
        <f>SUM(L44:L54)</f>
        <v>20000.145</v>
      </c>
      <c r="M43" s="34">
        <f aca="true" t="shared" si="10" ref="M43:Y43">SUM(M44:M54)</f>
        <v>20000.145</v>
      </c>
      <c r="N43" s="34">
        <f t="shared" si="10"/>
        <v>0</v>
      </c>
      <c r="O43" s="34">
        <f t="shared" si="10"/>
        <v>72438.709</v>
      </c>
      <c r="P43" s="34">
        <f>SUM(P44:P54)</f>
        <v>72438.709</v>
      </c>
      <c r="Q43" s="34">
        <f t="shared" si="10"/>
        <v>0</v>
      </c>
      <c r="R43" s="34">
        <f aca="true" t="shared" si="11" ref="R43:W43">SUM(R44:R54)</f>
        <v>72439</v>
      </c>
      <c r="S43" s="34">
        <f t="shared" si="11"/>
        <v>0</v>
      </c>
      <c r="T43" s="34">
        <f t="shared" si="11"/>
        <v>7359</v>
      </c>
      <c r="U43" s="34">
        <f t="shared" si="11"/>
        <v>15781</v>
      </c>
      <c r="V43" s="34">
        <f t="shared" si="11"/>
        <v>26642</v>
      </c>
      <c r="W43" s="34">
        <f t="shared" si="11"/>
        <v>22657</v>
      </c>
      <c r="X43" s="34">
        <f t="shared" si="10"/>
        <v>52438.067</v>
      </c>
      <c r="Y43" s="34">
        <f t="shared" si="10"/>
        <v>0.49699999999984357</v>
      </c>
      <c r="Z43" s="32"/>
    </row>
    <row r="44" spans="1:26" s="38" customFormat="1" ht="33">
      <c r="A44" s="15" t="s">
        <v>23</v>
      </c>
      <c r="B44" s="16" t="s">
        <v>71</v>
      </c>
      <c r="C44" s="17" t="s">
        <v>21</v>
      </c>
      <c r="D44" s="17" t="s">
        <v>31</v>
      </c>
      <c r="E44" s="25" t="s">
        <v>26</v>
      </c>
      <c r="F44" s="25" t="s">
        <v>183</v>
      </c>
      <c r="G44" s="18">
        <v>4965.300745</v>
      </c>
      <c r="H44" s="25" t="s">
        <v>67</v>
      </c>
      <c r="I44" s="18">
        <v>4965.300745</v>
      </c>
      <c r="J44" s="18">
        <v>0</v>
      </c>
      <c r="K44" s="18">
        <v>0</v>
      </c>
      <c r="L44" s="18">
        <f>M44</f>
        <v>2820</v>
      </c>
      <c r="M44" s="18">
        <v>2820</v>
      </c>
      <c r="N44" s="18"/>
      <c r="O44" s="18">
        <f>P44</f>
        <v>2820</v>
      </c>
      <c r="P44" s="18">
        <v>2820</v>
      </c>
      <c r="Q44" s="18"/>
      <c r="R44" s="18">
        <f>SUM(S44:W44)</f>
        <v>2820</v>
      </c>
      <c r="S44" s="18"/>
      <c r="T44" s="18">
        <v>2820</v>
      </c>
      <c r="U44" s="18"/>
      <c r="V44" s="18"/>
      <c r="W44" s="18"/>
      <c r="X44" s="18">
        <v>0</v>
      </c>
      <c r="Y44" s="18">
        <v>0</v>
      </c>
      <c r="Z44" s="15"/>
    </row>
    <row r="45" spans="1:28" s="38" customFormat="1" ht="33">
      <c r="A45" s="15" t="s">
        <v>23</v>
      </c>
      <c r="B45" s="19" t="s">
        <v>39</v>
      </c>
      <c r="C45" s="17" t="s">
        <v>21</v>
      </c>
      <c r="D45" s="17" t="s">
        <v>31</v>
      </c>
      <c r="E45" s="25" t="s">
        <v>44</v>
      </c>
      <c r="F45" s="25" t="s">
        <v>46</v>
      </c>
      <c r="G45" s="18">
        <v>3456.626461</v>
      </c>
      <c r="H45" s="25" t="s">
        <v>187</v>
      </c>
      <c r="I45" s="18">
        <v>3456.626461</v>
      </c>
      <c r="J45" s="18">
        <v>0</v>
      </c>
      <c r="K45" s="18">
        <v>0</v>
      </c>
      <c r="L45" s="18">
        <f>M45</f>
        <v>2061</v>
      </c>
      <c r="M45" s="18">
        <v>2061</v>
      </c>
      <c r="N45" s="18"/>
      <c r="O45" s="18">
        <f>P45</f>
        <v>2061</v>
      </c>
      <c r="P45" s="18">
        <v>2061</v>
      </c>
      <c r="Q45" s="18"/>
      <c r="R45" s="18">
        <f aca="true" t="shared" si="12" ref="R45:R54">SUM(S45:W45)</f>
        <v>2061</v>
      </c>
      <c r="S45" s="18"/>
      <c r="T45" s="18">
        <v>1715</v>
      </c>
      <c r="U45" s="18">
        <v>346</v>
      </c>
      <c r="V45" s="18"/>
      <c r="W45" s="18"/>
      <c r="X45" s="18">
        <v>0</v>
      </c>
      <c r="Y45" s="18">
        <v>0</v>
      </c>
      <c r="Z45" s="15"/>
      <c r="AB45" s="31"/>
    </row>
    <row r="46" spans="1:26" s="38" customFormat="1" ht="33">
      <c r="A46" s="15" t="s">
        <v>23</v>
      </c>
      <c r="B46" s="19" t="s">
        <v>69</v>
      </c>
      <c r="C46" s="17" t="s">
        <v>21</v>
      </c>
      <c r="D46" s="17" t="s">
        <v>43</v>
      </c>
      <c r="E46" s="25" t="s">
        <v>44</v>
      </c>
      <c r="F46" s="25" t="s">
        <v>72</v>
      </c>
      <c r="G46" s="18">
        <v>3411.481</v>
      </c>
      <c r="H46" s="25" t="s">
        <v>188</v>
      </c>
      <c r="I46" s="18">
        <v>3411.481</v>
      </c>
      <c r="J46" s="18">
        <v>0</v>
      </c>
      <c r="K46" s="18">
        <v>0</v>
      </c>
      <c r="L46" s="18">
        <v>3301</v>
      </c>
      <c r="M46" s="18">
        <v>3301</v>
      </c>
      <c r="N46" s="18"/>
      <c r="O46" s="18">
        <v>3301</v>
      </c>
      <c r="P46" s="18">
        <v>3301</v>
      </c>
      <c r="Q46" s="18"/>
      <c r="R46" s="18">
        <f t="shared" si="12"/>
        <v>3301</v>
      </c>
      <c r="S46" s="18"/>
      <c r="T46" s="18">
        <v>1960</v>
      </c>
      <c r="U46" s="18">
        <v>1341</v>
      </c>
      <c r="V46" s="18"/>
      <c r="W46" s="18"/>
      <c r="X46" s="18">
        <v>0</v>
      </c>
      <c r="Y46" s="18">
        <v>0</v>
      </c>
      <c r="Z46" s="15"/>
    </row>
    <row r="47" spans="1:26" s="38" customFormat="1" ht="33">
      <c r="A47" s="15" t="s">
        <v>23</v>
      </c>
      <c r="B47" s="19" t="s">
        <v>70</v>
      </c>
      <c r="C47" s="17" t="s">
        <v>21</v>
      </c>
      <c r="D47" s="17" t="s">
        <v>25</v>
      </c>
      <c r="E47" s="25" t="s">
        <v>38</v>
      </c>
      <c r="F47" s="25" t="s">
        <v>167</v>
      </c>
      <c r="G47" s="18">
        <v>1725</v>
      </c>
      <c r="H47" s="25"/>
      <c r="I47" s="18"/>
      <c r="J47" s="18">
        <v>0</v>
      </c>
      <c r="K47" s="18">
        <v>0</v>
      </c>
      <c r="L47" s="18">
        <f>1625+100</f>
        <v>1725</v>
      </c>
      <c r="M47" s="18">
        <f>1625+100</f>
        <v>1725</v>
      </c>
      <c r="N47" s="18"/>
      <c r="O47" s="18">
        <f>1625+100</f>
        <v>1725</v>
      </c>
      <c r="P47" s="18">
        <f>1625+100</f>
        <v>1725</v>
      </c>
      <c r="Q47" s="18"/>
      <c r="R47" s="18">
        <f t="shared" si="12"/>
        <v>1725</v>
      </c>
      <c r="S47" s="18"/>
      <c r="T47" s="18"/>
      <c r="U47" s="18">
        <v>100</v>
      </c>
      <c r="V47" s="18">
        <v>1625</v>
      </c>
      <c r="W47" s="18"/>
      <c r="X47" s="18">
        <v>0</v>
      </c>
      <c r="Y47" s="18">
        <v>0</v>
      </c>
      <c r="Z47" s="15"/>
    </row>
    <row r="48" spans="1:28" s="38" customFormat="1" ht="33">
      <c r="A48" s="15" t="s">
        <v>23</v>
      </c>
      <c r="B48" s="16" t="s">
        <v>147</v>
      </c>
      <c r="C48" s="17" t="s">
        <v>21</v>
      </c>
      <c r="D48" s="17" t="s">
        <v>22</v>
      </c>
      <c r="E48" s="17" t="s">
        <v>44</v>
      </c>
      <c r="F48" s="25" t="s">
        <v>172</v>
      </c>
      <c r="G48" s="18">
        <v>9930.145</v>
      </c>
      <c r="H48" s="25" t="s">
        <v>173</v>
      </c>
      <c r="I48" s="18">
        <v>9930.145</v>
      </c>
      <c r="J48" s="18">
        <v>0</v>
      </c>
      <c r="K48" s="18">
        <v>0</v>
      </c>
      <c r="L48" s="18">
        <v>2300.145</v>
      </c>
      <c r="M48" s="18">
        <v>2300.145</v>
      </c>
      <c r="N48" s="18"/>
      <c r="O48" s="18">
        <v>594</v>
      </c>
      <c r="P48" s="18">
        <v>594</v>
      </c>
      <c r="Q48" s="18"/>
      <c r="R48" s="18">
        <f t="shared" si="12"/>
        <v>594</v>
      </c>
      <c r="S48" s="18"/>
      <c r="T48" s="18">
        <v>594</v>
      </c>
      <c r="U48" s="18"/>
      <c r="V48" s="18"/>
      <c r="W48" s="18"/>
      <c r="X48" s="18">
        <v>0</v>
      </c>
      <c r="Y48" s="18">
        <f>O48-L48</f>
        <v>-1706.145</v>
      </c>
      <c r="Z48" s="15"/>
      <c r="AB48" s="31"/>
    </row>
    <row r="49" spans="1:28" s="38" customFormat="1" ht="33">
      <c r="A49" s="15" t="s">
        <v>23</v>
      </c>
      <c r="B49" s="16" t="s">
        <v>95</v>
      </c>
      <c r="C49" s="17" t="s">
        <v>21</v>
      </c>
      <c r="D49" s="17" t="s">
        <v>25</v>
      </c>
      <c r="E49" s="20" t="s">
        <v>37</v>
      </c>
      <c r="F49" s="25" t="s">
        <v>168</v>
      </c>
      <c r="G49" s="18">
        <v>5481.99</v>
      </c>
      <c r="H49" s="25" t="s">
        <v>169</v>
      </c>
      <c r="I49" s="18">
        <v>5481.99</v>
      </c>
      <c r="J49" s="18">
        <v>0</v>
      </c>
      <c r="K49" s="18">
        <v>0</v>
      </c>
      <c r="L49" s="18">
        <v>2710</v>
      </c>
      <c r="M49" s="18">
        <v>2710</v>
      </c>
      <c r="N49" s="18"/>
      <c r="O49" s="18">
        <v>2662</v>
      </c>
      <c r="P49" s="18">
        <v>2662</v>
      </c>
      <c r="Q49" s="18"/>
      <c r="R49" s="18">
        <f t="shared" si="12"/>
        <v>2662</v>
      </c>
      <c r="S49" s="18"/>
      <c r="T49" s="18"/>
      <c r="U49" s="18">
        <v>1520</v>
      </c>
      <c r="V49" s="18">
        <v>1142</v>
      </c>
      <c r="W49" s="18"/>
      <c r="X49" s="18">
        <v>0</v>
      </c>
      <c r="Y49" s="18">
        <f>P49-L49</f>
        <v>-48</v>
      </c>
      <c r="Z49" s="15"/>
      <c r="AB49" s="31"/>
    </row>
    <row r="50" spans="1:32" s="38" customFormat="1" ht="33">
      <c r="A50" s="15" t="s">
        <v>23</v>
      </c>
      <c r="B50" s="26" t="s">
        <v>142</v>
      </c>
      <c r="C50" s="17" t="s">
        <v>21</v>
      </c>
      <c r="D50" s="17" t="s">
        <v>25</v>
      </c>
      <c r="E50" s="25" t="s">
        <v>37</v>
      </c>
      <c r="F50" s="25" t="s">
        <v>184</v>
      </c>
      <c r="G50" s="18">
        <v>4466.642</v>
      </c>
      <c r="H50" s="25" t="s">
        <v>185</v>
      </c>
      <c r="I50" s="18">
        <v>4466.642</v>
      </c>
      <c r="J50" s="18">
        <v>0</v>
      </c>
      <c r="K50" s="18">
        <v>0</v>
      </c>
      <c r="L50" s="18">
        <f>4326+150</f>
        <v>4476</v>
      </c>
      <c r="M50" s="18">
        <f>4326+150</f>
        <v>4476</v>
      </c>
      <c r="N50" s="18"/>
      <c r="O50" s="18">
        <f>4316.642+150</f>
        <v>4466.642</v>
      </c>
      <c r="P50" s="18">
        <f>4316.642+150</f>
        <v>4466.642</v>
      </c>
      <c r="Q50" s="18"/>
      <c r="R50" s="18">
        <f t="shared" si="12"/>
        <v>4467</v>
      </c>
      <c r="S50" s="18"/>
      <c r="T50" s="18">
        <v>150</v>
      </c>
      <c r="U50" s="18">
        <v>1300</v>
      </c>
      <c r="V50" s="18">
        <v>3017</v>
      </c>
      <c r="W50" s="18"/>
      <c r="X50" s="18">
        <v>0</v>
      </c>
      <c r="Y50" s="18">
        <v>-9.358000000000175</v>
      </c>
      <c r="Z50" s="15"/>
      <c r="AB50" s="239" t="s">
        <v>186</v>
      </c>
      <c r="AC50" s="239"/>
      <c r="AD50" s="239"/>
      <c r="AE50" s="239"/>
      <c r="AF50" s="239"/>
    </row>
    <row r="51" spans="1:28" s="38" customFormat="1" ht="33">
      <c r="A51" s="15" t="s">
        <v>23</v>
      </c>
      <c r="B51" s="22" t="s">
        <v>139</v>
      </c>
      <c r="C51" s="17" t="s">
        <v>21</v>
      </c>
      <c r="D51" s="17" t="s">
        <v>25</v>
      </c>
      <c r="E51" s="20" t="s">
        <v>37</v>
      </c>
      <c r="F51" s="25" t="s">
        <v>170</v>
      </c>
      <c r="G51" s="18">
        <v>3780</v>
      </c>
      <c r="H51" s="25" t="s">
        <v>171</v>
      </c>
      <c r="I51" s="18">
        <v>3780</v>
      </c>
      <c r="J51" s="18">
        <v>0</v>
      </c>
      <c r="K51" s="18">
        <v>0</v>
      </c>
      <c r="L51" s="18">
        <f>487+120</f>
        <v>607</v>
      </c>
      <c r="M51" s="18">
        <f>487+120</f>
        <v>607</v>
      </c>
      <c r="N51" s="18"/>
      <c r="O51" s="18">
        <v>2371</v>
      </c>
      <c r="P51" s="18">
        <v>2371</v>
      </c>
      <c r="Q51" s="18"/>
      <c r="R51" s="18">
        <f t="shared" si="12"/>
        <v>2371</v>
      </c>
      <c r="S51" s="18"/>
      <c r="T51" s="18">
        <v>120</v>
      </c>
      <c r="U51" s="18">
        <v>1393</v>
      </c>
      <c r="V51" s="18">
        <v>858</v>
      </c>
      <c r="W51" s="18"/>
      <c r="X51" s="18">
        <v>0</v>
      </c>
      <c r="Y51" s="18">
        <f>O51-L51</f>
        <v>1764</v>
      </c>
      <c r="Z51" s="51"/>
      <c r="AB51" s="31"/>
    </row>
    <row r="52" spans="1:28" s="38" customFormat="1" ht="49.5">
      <c r="A52" s="15" t="s">
        <v>23</v>
      </c>
      <c r="B52" s="16" t="s">
        <v>189</v>
      </c>
      <c r="C52" s="17" t="s">
        <v>25</v>
      </c>
      <c r="D52" s="17" t="s">
        <v>25</v>
      </c>
      <c r="E52" s="17" t="s">
        <v>37</v>
      </c>
      <c r="F52" s="25" t="s">
        <v>192</v>
      </c>
      <c r="G52" s="18">
        <v>3357.315</v>
      </c>
      <c r="H52" s="25"/>
      <c r="I52" s="18"/>
      <c r="J52" s="18">
        <v>0</v>
      </c>
      <c r="K52" s="18">
        <v>0</v>
      </c>
      <c r="L52" s="18"/>
      <c r="M52" s="18"/>
      <c r="N52" s="18"/>
      <c r="O52" s="18">
        <v>3094.968</v>
      </c>
      <c r="P52" s="18">
        <v>3094.968</v>
      </c>
      <c r="Q52" s="18"/>
      <c r="R52" s="18">
        <f t="shared" si="12"/>
        <v>3095</v>
      </c>
      <c r="S52" s="18"/>
      <c r="T52" s="18"/>
      <c r="U52" s="18">
        <v>3095</v>
      </c>
      <c r="V52" s="18"/>
      <c r="W52" s="18"/>
      <c r="X52" s="18">
        <v>3094.968</v>
      </c>
      <c r="Y52" s="18">
        <v>0</v>
      </c>
      <c r="Z52" s="51"/>
      <c r="AB52" s="31"/>
    </row>
    <row r="53" spans="1:28" s="38" customFormat="1" ht="49.5">
      <c r="A53" s="15" t="s">
        <v>23</v>
      </c>
      <c r="B53" s="16" t="s">
        <v>190</v>
      </c>
      <c r="C53" s="17" t="s">
        <v>25</v>
      </c>
      <c r="D53" s="17" t="s">
        <v>25</v>
      </c>
      <c r="E53" s="17" t="s">
        <v>37</v>
      </c>
      <c r="F53" s="25" t="s">
        <v>191</v>
      </c>
      <c r="G53" s="18">
        <v>4805.635</v>
      </c>
      <c r="H53" s="25"/>
      <c r="I53" s="18"/>
      <c r="J53" s="18"/>
      <c r="K53" s="18"/>
      <c r="L53" s="18"/>
      <c r="M53" s="18"/>
      <c r="N53" s="18"/>
      <c r="O53" s="18">
        <v>4505.032</v>
      </c>
      <c r="P53" s="18">
        <v>4505.032</v>
      </c>
      <c r="Q53" s="18"/>
      <c r="R53" s="18">
        <f t="shared" si="12"/>
        <v>4505</v>
      </c>
      <c r="S53" s="18"/>
      <c r="T53" s="18"/>
      <c r="U53" s="18">
        <v>4505</v>
      </c>
      <c r="V53" s="18"/>
      <c r="W53" s="18"/>
      <c r="X53" s="18">
        <v>4505.032</v>
      </c>
      <c r="Y53" s="18">
        <v>0</v>
      </c>
      <c r="Z53" s="51"/>
      <c r="AB53" s="31"/>
    </row>
    <row r="54" spans="1:28" s="38" customFormat="1" ht="33">
      <c r="A54" s="15" t="s">
        <v>23</v>
      </c>
      <c r="B54" s="16" t="s">
        <v>194</v>
      </c>
      <c r="C54" s="17" t="s">
        <v>21</v>
      </c>
      <c r="D54" s="17" t="s">
        <v>22</v>
      </c>
      <c r="E54" s="17" t="s">
        <v>37</v>
      </c>
      <c r="F54" s="25" t="s">
        <v>195</v>
      </c>
      <c r="G54" s="18">
        <v>44838.067</v>
      </c>
      <c r="H54" s="25"/>
      <c r="I54" s="18"/>
      <c r="J54" s="18"/>
      <c r="K54" s="18"/>
      <c r="L54" s="18"/>
      <c r="M54" s="18"/>
      <c r="N54" s="18"/>
      <c r="O54" s="18">
        <v>44838.067</v>
      </c>
      <c r="P54" s="18">
        <v>44838.067</v>
      </c>
      <c r="Q54" s="18"/>
      <c r="R54" s="18">
        <f t="shared" si="12"/>
        <v>44838</v>
      </c>
      <c r="S54" s="18"/>
      <c r="T54" s="18"/>
      <c r="U54" s="18">
        <v>2181</v>
      </c>
      <c r="V54" s="18">
        <v>20000</v>
      </c>
      <c r="W54" s="18">
        <v>22657</v>
      </c>
      <c r="X54" s="18">
        <f>O54-L54</f>
        <v>44838.067</v>
      </c>
      <c r="Y54" s="18"/>
      <c r="Z54" s="51"/>
      <c r="AB54" s="31"/>
    </row>
    <row r="55" spans="1:26" ht="16.5">
      <c r="A55" s="39" t="s">
        <v>6</v>
      </c>
      <c r="B55" s="39" t="s">
        <v>107</v>
      </c>
      <c r="C55" s="39"/>
      <c r="D55" s="40"/>
      <c r="E55" s="41"/>
      <c r="F55" s="42"/>
      <c r="G55" s="41"/>
      <c r="H55" s="42"/>
      <c r="I55" s="41"/>
      <c r="J55" s="41"/>
      <c r="K55" s="41"/>
      <c r="L55" s="41">
        <f aca="true" t="shared" si="13" ref="L55:Y55">SUM(L56:L65)</f>
        <v>13000</v>
      </c>
      <c r="M55" s="41">
        <f t="shared" si="13"/>
        <v>13000</v>
      </c>
      <c r="N55" s="41">
        <f t="shared" si="13"/>
        <v>0</v>
      </c>
      <c r="O55" s="41">
        <f t="shared" si="13"/>
        <v>12999.81374</v>
      </c>
      <c r="P55" s="41">
        <f t="shared" si="13"/>
        <v>12999.81374</v>
      </c>
      <c r="Q55" s="41">
        <f t="shared" si="13"/>
        <v>0</v>
      </c>
      <c r="R55" s="41">
        <f t="shared" si="13"/>
        <v>12999.81374</v>
      </c>
      <c r="S55" s="41">
        <f t="shared" si="13"/>
        <v>1531.81374</v>
      </c>
      <c r="T55" s="41">
        <f t="shared" si="13"/>
        <v>2100</v>
      </c>
      <c r="U55" s="41">
        <f t="shared" si="13"/>
        <v>3903</v>
      </c>
      <c r="V55" s="41">
        <f t="shared" si="13"/>
        <v>2921</v>
      </c>
      <c r="W55" s="41">
        <f t="shared" si="13"/>
        <v>1244</v>
      </c>
      <c r="X55" s="41">
        <f t="shared" si="13"/>
        <v>1037.1137400000002</v>
      </c>
      <c r="Y55" s="41">
        <f t="shared" si="13"/>
        <v>-1037.3000000000002</v>
      </c>
      <c r="Z55" s="39"/>
    </row>
    <row r="56" spans="1:26" s="38" customFormat="1" ht="33">
      <c r="A56" s="15" t="s">
        <v>23</v>
      </c>
      <c r="B56" s="22" t="s">
        <v>29</v>
      </c>
      <c r="C56" s="20" t="s">
        <v>21</v>
      </c>
      <c r="D56" s="20" t="s">
        <v>31</v>
      </c>
      <c r="E56" s="20">
        <v>2016</v>
      </c>
      <c r="F56" s="20" t="s">
        <v>96</v>
      </c>
      <c r="G56" s="21">
        <v>887</v>
      </c>
      <c r="H56" s="25"/>
      <c r="I56" s="18"/>
      <c r="J56" s="18">
        <v>0</v>
      </c>
      <c r="K56" s="18">
        <v>0</v>
      </c>
      <c r="L56" s="18">
        <f>M56</f>
        <v>300</v>
      </c>
      <c r="M56" s="18">
        <v>300</v>
      </c>
      <c r="N56" s="18"/>
      <c r="O56" s="18">
        <v>300</v>
      </c>
      <c r="P56" s="18">
        <v>300</v>
      </c>
      <c r="Q56" s="18"/>
      <c r="R56" s="18">
        <f>SUM(S56:W56)</f>
        <v>300</v>
      </c>
      <c r="S56" s="18">
        <v>300</v>
      </c>
      <c r="T56" s="18"/>
      <c r="U56" s="18"/>
      <c r="V56" s="18"/>
      <c r="W56" s="18"/>
      <c r="X56" s="18">
        <v>0</v>
      </c>
      <c r="Y56" s="18">
        <v>0</v>
      </c>
      <c r="Z56" s="15"/>
    </row>
    <row r="57" spans="1:26" s="38" customFormat="1" ht="33">
      <c r="A57" s="15" t="s">
        <v>23</v>
      </c>
      <c r="B57" s="22" t="s">
        <v>47</v>
      </c>
      <c r="C57" s="20" t="s">
        <v>21</v>
      </c>
      <c r="D57" s="20" t="s">
        <v>43</v>
      </c>
      <c r="E57" s="20">
        <v>2016</v>
      </c>
      <c r="F57" s="23"/>
      <c r="G57" s="21"/>
      <c r="H57" s="25"/>
      <c r="I57" s="18"/>
      <c r="J57" s="18"/>
      <c r="K57" s="18"/>
      <c r="L57" s="18">
        <f aca="true" t="shared" si="14" ref="L57:L63">M57</f>
        <v>201</v>
      </c>
      <c r="M57" s="18">
        <v>201</v>
      </c>
      <c r="N57" s="18"/>
      <c r="O57" s="18">
        <v>200.5</v>
      </c>
      <c r="P57" s="18">
        <v>200.5</v>
      </c>
      <c r="Q57" s="18"/>
      <c r="R57" s="18">
        <v>200.5</v>
      </c>
      <c r="S57" s="18">
        <v>200.5</v>
      </c>
      <c r="T57" s="18"/>
      <c r="U57" s="18"/>
      <c r="V57" s="18"/>
      <c r="W57" s="18"/>
      <c r="X57" s="18">
        <v>0</v>
      </c>
      <c r="Y57" s="18">
        <v>0</v>
      </c>
      <c r="Z57" s="15"/>
    </row>
    <row r="58" spans="1:26" s="38" customFormat="1" ht="33">
      <c r="A58" s="15" t="s">
        <v>23</v>
      </c>
      <c r="B58" s="22" t="s">
        <v>48</v>
      </c>
      <c r="C58" s="20" t="s">
        <v>21</v>
      </c>
      <c r="D58" s="20" t="s">
        <v>31</v>
      </c>
      <c r="E58" s="20">
        <v>2016</v>
      </c>
      <c r="F58" s="23"/>
      <c r="G58" s="21"/>
      <c r="H58" s="25"/>
      <c r="I58" s="18"/>
      <c r="J58" s="18"/>
      <c r="K58" s="18"/>
      <c r="L58" s="18">
        <f t="shared" si="14"/>
        <v>260</v>
      </c>
      <c r="M58" s="18">
        <v>260</v>
      </c>
      <c r="N58" s="18"/>
      <c r="O58" s="18">
        <v>260</v>
      </c>
      <c r="P58" s="18">
        <v>260</v>
      </c>
      <c r="Q58" s="18"/>
      <c r="R58" s="18">
        <f aca="true" t="shared" si="15" ref="R58:R64">SUM(S58:W58)</f>
        <v>260</v>
      </c>
      <c r="S58" s="18">
        <v>260</v>
      </c>
      <c r="T58" s="18"/>
      <c r="U58" s="18"/>
      <c r="V58" s="18"/>
      <c r="W58" s="18"/>
      <c r="X58" s="18">
        <v>0</v>
      </c>
      <c r="Y58" s="18">
        <v>0</v>
      </c>
      <c r="Z58" s="15"/>
    </row>
    <row r="59" spans="1:26" s="38" customFormat="1" ht="33">
      <c r="A59" s="15" t="s">
        <v>23</v>
      </c>
      <c r="B59" s="22" t="s">
        <v>49</v>
      </c>
      <c r="C59" s="20" t="s">
        <v>21</v>
      </c>
      <c r="D59" s="20" t="s">
        <v>25</v>
      </c>
      <c r="E59" s="20">
        <v>2016</v>
      </c>
      <c r="F59" s="23"/>
      <c r="G59" s="21"/>
      <c r="H59" s="25"/>
      <c r="I59" s="18"/>
      <c r="J59" s="18"/>
      <c r="K59" s="18"/>
      <c r="L59" s="18">
        <f t="shared" si="14"/>
        <v>139</v>
      </c>
      <c r="M59" s="18">
        <v>139</v>
      </c>
      <c r="N59" s="18"/>
      <c r="O59" s="18">
        <v>437.2</v>
      </c>
      <c r="P59" s="18">
        <v>437.2</v>
      </c>
      <c r="Q59" s="18"/>
      <c r="R59" s="18">
        <f t="shared" si="15"/>
        <v>437.2</v>
      </c>
      <c r="S59" s="18">
        <v>437.2</v>
      </c>
      <c r="T59" s="18"/>
      <c r="U59" s="18"/>
      <c r="V59" s="18"/>
      <c r="W59" s="18"/>
      <c r="X59" s="18">
        <f>O59-L59</f>
        <v>298.2</v>
      </c>
      <c r="Y59" s="18">
        <v>0</v>
      </c>
      <c r="Z59" s="15"/>
    </row>
    <row r="60" spans="1:26" s="38" customFormat="1" ht="33">
      <c r="A60" s="15" t="s">
        <v>23</v>
      </c>
      <c r="B60" s="22" t="s">
        <v>216</v>
      </c>
      <c r="C60" s="20" t="s">
        <v>21</v>
      </c>
      <c r="D60" s="20" t="s">
        <v>43</v>
      </c>
      <c r="E60" s="20" t="s">
        <v>161</v>
      </c>
      <c r="F60" s="23" t="s">
        <v>217</v>
      </c>
      <c r="G60" s="21">
        <f>7042.877147</f>
        <v>7042.877147</v>
      </c>
      <c r="H60" s="25"/>
      <c r="I60" s="18"/>
      <c r="J60" s="18"/>
      <c r="K60" s="18"/>
      <c r="L60" s="18"/>
      <c r="M60" s="18"/>
      <c r="N60" s="18"/>
      <c r="O60" s="18">
        <v>334.11374</v>
      </c>
      <c r="P60" s="18">
        <v>334.11374</v>
      </c>
      <c r="Q60" s="18"/>
      <c r="R60" s="18">
        <f t="shared" si="15"/>
        <v>334.11374</v>
      </c>
      <c r="S60" s="18">
        <v>334.11374</v>
      </c>
      <c r="T60" s="18"/>
      <c r="U60" s="18"/>
      <c r="V60" s="18"/>
      <c r="W60" s="18"/>
      <c r="X60" s="18">
        <f>R60-L60</f>
        <v>334.11374</v>
      </c>
      <c r="Y60" s="18">
        <v>0</v>
      </c>
      <c r="Z60" s="15"/>
    </row>
    <row r="61" spans="1:26" s="38" customFormat="1" ht="33">
      <c r="A61" s="15" t="s">
        <v>23</v>
      </c>
      <c r="B61" s="22" t="s">
        <v>25</v>
      </c>
      <c r="C61" s="20" t="s">
        <v>25</v>
      </c>
      <c r="D61" s="20" t="s">
        <v>25</v>
      </c>
      <c r="E61" s="23" t="s">
        <v>33</v>
      </c>
      <c r="F61" s="23"/>
      <c r="G61" s="21">
        <v>7747</v>
      </c>
      <c r="H61" s="25"/>
      <c r="I61" s="18"/>
      <c r="J61" s="18"/>
      <c r="K61" s="18"/>
      <c r="L61" s="18">
        <f t="shared" si="14"/>
        <v>6972.3</v>
      </c>
      <c r="M61" s="18">
        <v>6972.3</v>
      </c>
      <c r="N61" s="18"/>
      <c r="O61" s="18">
        <v>5935</v>
      </c>
      <c r="P61" s="18">
        <f>5715+220</f>
        <v>5935</v>
      </c>
      <c r="Q61" s="18"/>
      <c r="R61" s="18">
        <f t="shared" si="15"/>
        <v>5935</v>
      </c>
      <c r="S61" s="18"/>
      <c r="T61" s="18">
        <v>1188</v>
      </c>
      <c r="U61" s="18">
        <v>1300</v>
      </c>
      <c r="V61" s="18">
        <v>2328</v>
      </c>
      <c r="W61" s="18">
        <f>899+220</f>
        <v>1119</v>
      </c>
      <c r="X61" s="18">
        <v>0</v>
      </c>
      <c r="Y61" s="18">
        <f>O61-L61</f>
        <v>-1037.3000000000002</v>
      </c>
      <c r="Z61" s="15"/>
    </row>
    <row r="62" spans="1:26" s="38" customFormat="1" ht="33">
      <c r="A62" s="15" t="s">
        <v>23</v>
      </c>
      <c r="B62" s="22" t="s">
        <v>43</v>
      </c>
      <c r="C62" s="22" t="s">
        <v>43</v>
      </c>
      <c r="D62" s="22" t="s">
        <v>43</v>
      </c>
      <c r="E62" s="23" t="s">
        <v>33</v>
      </c>
      <c r="F62" s="23"/>
      <c r="G62" s="21">
        <v>2328</v>
      </c>
      <c r="H62" s="25"/>
      <c r="I62" s="18"/>
      <c r="J62" s="18"/>
      <c r="K62" s="18"/>
      <c r="L62" s="18">
        <f t="shared" si="14"/>
        <v>2095.2</v>
      </c>
      <c r="M62" s="18">
        <v>2095.2</v>
      </c>
      <c r="N62" s="18"/>
      <c r="O62" s="18">
        <v>2500</v>
      </c>
      <c r="P62" s="18">
        <v>2500</v>
      </c>
      <c r="Q62" s="18"/>
      <c r="R62" s="18">
        <f t="shared" si="15"/>
        <v>2500</v>
      </c>
      <c r="S62" s="18"/>
      <c r="T62" s="18">
        <v>500</v>
      </c>
      <c r="U62" s="18">
        <v>2000</v>
      </c>
      <c r="V62" s="18"/>
      <c r="W62" s="18"/>
      <c r="X62" s="18">
        <f>O62-L62</f>
        <v>404.8000000000002</v>
      </c>
      <c r="Y62" s="18">
        <v>0</v>
      </c>
      <c r="Z62" s="15"/>
    </row>
    <row r="63" spans="1:26" s="38" customFormat="1" ht="33">
      <c r="A63" s="15" t="s">
        <v>23</v>
      </c>
      <c r="B63" s="22" t="s">
        <v>31</v>
      </c>
      <c r="C63" s="20" t="s">
        <v>31</v>
      </c>
      <c r="D63" s="20" t="s">
        <v>31</v>
      </c>
      <c r="E63" s="23" t="s">
        <v>33</v>
      </c>
      <c r="F63" s="23"/>
      <c r="G63" s="21">
        <f>1405</f>
        <v>1405</v>
      </c>
      <c r="H63" s="25"/>
      <c r="I63" s="18"/>
      <c r="J63" s="18"/>
      <c r="K63" s="18"/>
      <c r="L63" s="18">
        <f t="shared" si="14"/>
        <v>1264.5</v>
      </c>
      <c r="M63" s="18">
        <v>1264.5</v>
      </c>
      <c r="N63" s="18"/>
      <c r="O63" s="18">
        <v>1265</v>
      </c>
      <c r="P63" s="18">
        <v>1265</v>
      </c>
      <c r="Q63" s="18"/>
      <c r="R63" s="18">
        <f t="shared" si="15"/>
        <v>1265</v>
      </c>
      <c r="S63" s="18"/>
      <c r="T63" s="18">
        <v>312</v>
      </c>
      <c r="U63" s="18">
        <v>460</v>
      </c>
      <c r="V63" s="18">
        <v>493</v>
      </c>
      <c r="W63" s="18"/>
      <c r="X63" s="18">
        <v>0</v>
      </c>
      <c r="Y63" s="18">
        <v>0</v>
      </c>
      <c r="Z63" s="15"/>
    </row>
    <row r="64" spans="1:26" s="38" customFormat="1" ht="33">
      <c r="A64" s="15" t="s">
        <v>23</v>
      </c>
      <c r="B64" s="22" t="s">
        <v>50</v>
      </c>
      <c r="C64" s="20" t="s">
        <v>51</v>
      </c>
      <c r="D64" s="20" t="s">
        <v>22</v>
      </c>
      <c r="E64" s="23" t="s">
        <v>33</v>
      </c>
      <c r="F64" s="23"/>
      <c r="G64" s="21">
        <v>468</v>
      </c>
      <c r="H64" s="25"/>
      <c r="I64" s="18"/>
      <c r="J64" s="18"/>
      <c r="K64" s="18"/>
      <c r="L64" s="18">
        <f>M64</f>
        <v>468</v>
      </c>
      <c r="M64" s="18">
        <v>468</v>
      </c>
      <c r="N64" s="18"/>
      <c r="O64" s="18">
        <v>468</v>
      </c>
      <c r="P64" s="18">
        <v>468</v>
      </c>
      <c r="Q64" s="18"/>
      <c r="R64" s="18">
        <f t="shared" si="15"/>
        <v>468</v>
      </c>
      <c r="S64" s="18"/>
      <c r="T64" s="18">
        <v>100</v>
      </c>
      <c r="U64" s="18">
        <v>143</v>
      </c>
      <c r="V64" s="18">
        <v>100</v>
      </c>
      <c r="W64" s="18">
        <v>125</v>
      </c>
      <c r="X64" s="18">
        <v>0</v>
      </c>
      <c r="Y64" s="18">
        <v>0</v>
      </c>
      <c r="Z64" s="15"/>
    </row>
    <row r="65" spans="1:26" ht="16.5">
      <c r="A65" s="12" t="s">
        <v>23</v>
      </c>
      <c r="B65" s="54" t="s">
        <v>112</v>
      </c>
      <c r="C65" s="14"/>
      <c r="D65" s="14"/>
      <c r="E65" s="13"/>
      <c r="F65" s="30"/>
      <c r="G65" s="13"/>
      <c r="H65" s="30"/>
      <c r="I65" s="13"/>
      <c r="J65" s="13"/>
      <c r="K65" s="13"/>
      <c r="L65" s="13">
        <v>1300</v>
      </c>
      <c r="M65" s="13">
        <v>1300</v>
      </c>
      <c r="N65" s="13"/>
      <c r="O65" s="13">
        <v>1300</v>
      </c>
      <c r="P65" s="13">
        <v>1300</v>
      </c>
      <c r="Q65" s="13"/>
      <c r="R65" s="13">
        <v>1300</v>
      </c>
      <c r="S65" s="13"/>
      <c r="T65" s="13"/>
      <c r="U65" s="13"/>
      <c r="V65" s="13"/>
      <c r="W65" s="13"/>
      <c r="X65" s="13"/>
      <c r="Y65" s="13"/>
      <c r="Z65" s="12"/>
    </row>
    <row r="66" spans="1:26" ht="16.5">
      <c r="A66" s="32" t="s">
        <v>108</v>
      </c>
      <c r="B66" s="33" t="s">
        <v>109</v>
      </c>
      <c r="C66" s="32"/>
      <c r="D66" s="33"/>
      <c r="E66" s="34"/>
      <c r="F66" s="35"/>
      <c r="G66" s="34"/>
      <c r="H66" s="35"/>
      <c r="I66" s="34"/>
      <c r="J66" s="34"/>
      <c r="K66" s="34"/>
      <c r="L66" s="34">
        <f>SUM(L67:L69)</f>
        <v>4900.08853</v>
      </c>
      <c r="M66" s="34">
        <f aca="true" t="shared" si="16" ref="M66:W66">SUM(M67:M69)</f>
        <v>4900.08853</v>
      </c>
      <c r="N66" s="34">
        <f t="shared" si="16"/>
        <v>0</v>
      </c>
      <c r="O66" s="34">
        <f t="shared" si="16"/>
        <v>4900.1959910000005</v>
      </c>
      <c r="P66" s="34">
        <f t="shared" si="16"/>
        <v>4900.1959910000005</v>
      </c>
      <c r="Q66" s="34">
        <f t="shared" si="16"/>
        <v>0</v>
      </c>
      <c r="R66" s="34">
        <f>SUM(R67:R69)</f>
        <v>4900</v>
      </c>
      <c r="S66" s="34">
        <f t="shared" si="16"/>
        <v>1500</v>
      </c>
      <c r="T66" s="34">
        <f t="shared" si="16"/>
        <v>3050</v>
      </c>
      <c r="U66" s="34">
        <f t="shared" si="16"/>
        <v>350</v>
      </c>
      <c r="V66" s="34">
        <f t="shared" si="16"/>
        <v>0</v>
      </c>
      <c r="W66" s="34">
        <f t="shared" si="16"/>
        <v>0</v>
      </c>
      <c r="X66" s="34">
        <f>SUM(X67:X69)</f>
        <v>0</v>
      </c>
      <c r="Y66" s="34">
        <f>SUM(Y67:Y69)</f>
        <v>0</v>
      </c>
      <c r="Z66" s="32"/>
    </row>
    <row r="67" spans="1:26" s="38" customFormat="1" ht="33">
      <c r="A67" s="15" t="s">
        <v>23</v>
      </c>
      <c r="B67" s="22" t="s">
        <v>42</v>
      </c>
      <c r="C67" s="20" t="s">
        <v>21</v>
      </c>
      <c r="D67" s="20" t="s">
        <v>25</v>
      </c>
      <c r="E67" s="20" t="s">
        <v>26</v>
      </c>
      <c r="F67" s="23" t="s">
        <v>193</v>
      </c>
      <c r="G67" s="21">
        <v>3394.08853</v>
      </c>
      <c r="H67" s="23" t="s">
        <v>45</v>
      </c>
      <c r="I67" s="21">
        <v>3394.08853</v>
      </c>
      <c r="J67" s="18">
        <v>0</v>
      </c>
      <c r="K67" s="18">
        <v>0</v>
      </c>
      <c r="L67" s="18">
        <f>M67</f>
        <v>3394.08853</v>
      </c>
      <c r="M67" s="18">
        <v>3394.08853</v>
      </c>
      <c r="N67" s="18"/>
      <c r="O67" s="18">
        <f>P67</f>
        <v>3394.08853</v>
      </c>
      <c r="P67" s="18">
        <v>3394.08853</v>
      </c>
      <c r="Q67" s="18"/>
      <c r="R67" s="18">
        <f>SUM(S67:W67)</f>
        <v>3394</v>
      </c>
      <c r="S67" s="18">
        <v>1500</v>
      </c>
      <c r="T67" s="18">
        <v>1894</v>
      </c>
      <c r="U67" s="18"/>
      <c r="V67" s="18"/>
      <c r="W67" s="18"/>
      <c r="X67" s="18">
        <v>0</v>
      </c>
      <c r="Y67" s="18">
        <v>0</v>
      </c>
      <c r="Z67" s="15"/>
    </row>
    <row r="68" spans="1:26" s="38" customFormat="1" ht="33">
      <c r="A68" s="15" t="s">
        <v>23</v>
      </c>
      <c r="B68" s="22" t="s">
        <v>41</v>
      </c>
      <c r="C68" s="17" t="s">
        <v>21</v>
      </c>
      <c r="D68" s="17" t="s">
        <v>31</v>
      </c>
      <c r="E68" s="25" t="s">
        <v>44</v>
      </c>
      <c r="F68" s="25" t="s">
        <v>46</v>
      </c>
      <c r="G68" s="18">
        <v>3456.626461</v>
      </c>
      <c r="H68" s="25" t="s">
        <v>187</v>
      </c>
      <c r="I68" s="18">
        <v>3456.626461</v>
      </c>
      <c r="J68" s="18">
        <v>0</v>
      </c>
      <c r="K68" s="18">
        <v>0</v>
      </c>
      <c r="L68" s="18">
        <f>M68</f>
        <v>1396</v>
      </c>
      <c r="M68" s="18">
        <v>1396</v>
      </c>
      <c r="N68" s="18"/>
      <c r="O68" s="18">
        <v>1395.6264609999998</v>
      </c>
      <c r="P68" s="18">
        <v>1395.6264609999998</v>
      </c>
      <c r="Q68" s="18"/>
      <c r="R68" s="18">
        <f>SUM(S68:W68)</f>
        <v>1396</v>
      </c>
      <c r="S68" s="18"/>
      <c r="T68" s="18">
        <v>1156</v>
      </c>
      <c r="U68" s="18">
        <v>240</v>
      </c>
      <c r="V68" s="18"/>
      <c r="W68" s="18"/>
      <c r="X68" s="18">
        <v>0</v>
      </c>
      <c r="Y68" s="18">
        <v>0</v>
      </c>
      <c r="Z68" s="15"/>
    </row>
    <row r="69" spans="1:26" s="38" customFormat="1" ht="33">
      <c r="A69" s="15" t="s">
        <v>23</v>
      </c>
      <c r="B69" s="22" t="s">
        <v>40</v>
      </c>
      <c r="C69" s="17" t="s">
        <v>21</v>
      </c>
      <c r="D69" s="17" t="s">
        <v>43</v>
      </c>
      <c r="E69" s="25" t="s">
        <v>44</v>
      </c>
      <c r="F69" s="25" t="s">
        <v>72</v>
      </c>
      <c r="G69" s="18">
        <v>3411.481</v>
      </c>
      <c r="H69" s="25" t="s">
        <v>188</v>
      </c>
      <c r="I69" s="18">
        <v>3411.481</v>
      </c>
      <c r="J69" s="18">
        <v>0</v>
      </c>
      <c r="K69" s="18">
        <v>0</v>
      </c>
      <c r="L69" s="18">
        <f>M69</f>
        <v>110</v>
      </c>
      <c r="M69" s="18">
        <v>110</v>
      </c>
      <c r="N69" s="18"/>
      <c r="O69" s="18">
        <v>110.48100000000022</v>
      </c>
      <c r="P69" s="18">
        <v>110.48100000000022</v>
      </c>
      <c r="Q69" s="18"/>
      <c r="R69" s="18">
        <f>SUM(S69:W69)</f>
        <v>110</v>
      </c>
      <c r="S69" s="18"/>
      <c r="T69" s="18"/>
      <c r="U69" s="18">
        <v>110</v>
      </c>
      <c r="V69" s="18"/>
      <c r="W69" s="18"/>
      <c r="X69" s="18">
        <v>0</v>
      </c>
      <c r="Y69" s="18">
        <v>0</v>
      </c>
      <c r="Z69" s="15"/>
    </row>
    <row r="70" spans="1:26" ht="33">
      <c r="A70" s="47" t="s">
        <v>111</v>
      </c>
      <c r="B70" s="48" t="s">
        <v>219</v>
      </c>
      <c r="C70" s="48"/>
      <c r="D70" s="48"/>
      <c r="E70" s="48"/>
      <c r="F70" s="49"/>
      <c r="G70" s="50"/>
      <c r="H70" s="49"/>
      <c r="I70" s="50"/>
      <c r="J70" s="50">
        <f aca="true" t="shared" si="17" ref="J70:W70">SUM(J71:J73)</f>
        <v>1204.00299</v>
      </c>
      <c r="K70" s="50">
        <f t="shared" si="17"/>
        <v>1204.00299</v>
      </c>
      <c r="L70" s="50">
        <f t="shared" si="17"/>
        <v>82777.19701</v>
      </c>
      <c r="M70" s="50">
        <f t="shared" si="17"/>
        <v>82777.19701</v>
      </c>
      <c r="N70" s="50">
        <f t="shared" si="17"/>
        <v>0</v>
      </c>
      <c r="O70" s="50">
        <f t="shared" si="17"/>
        <v>158744.67398999998</v>
      </c>
      <c r="P70" s="50">
        <f t="shared" si="17"/>
        <v>158744.67398999998</v>
      </c>
      <c r="Q70" s="50">
        <f t="shared" si="17"/>
        <v>0</v>
      </c>
      <c r="R70" s="50">
        <f t="shared" si="17"/>
        <v>158609.718</v>
      </c>
      <c r="S70" s="50">
        <f t="shared" si="17"/>
        <v>1464.4853249999987</v>
      </c>
      <c r="T70" s="50">
        <f t="shared" si="17"/>
        <v>26493.380393000003</v>
      </c>
      <c r="U70" s="50">
        <f t="shared" si="17"/>
        <v>61463.852282</v>
      </c>
      <c r="V70" s="50">
        <f t="shared" si="17"/>
        <v>30000</v>
      </c>
      <c r="W70" s="50">
        <f t="shared" si="17"/>
        <v>39188</v>
      </c>
      <c r="X70" s="50"/>
      <c r="Y70" s="50"/>
      <c r="Z70" s="47"/>
    </row>
    <row r="71" spans="1:26" s="38" customFormat="1" ht="61.5" customHeight="1">
      <c r="A71" s="15" t="s">
        <v>23</v>
      </c>
      <c r="B71" s="22" t="s">
        <v>117</v>
      </c>
      <c r="C71" s="17" t="s">
        <v>21</v>
      </c>
      <c r="D71" s="17" t="s">
        <v>22</v>
      </c>
      <c r="E71" s="25" t="s">
        <v>118</v>
      </c>
      <c r="F71" s="25" t="s">
        <v>74</v>
      </c>
      <c r="G71" s="18">
        <v>78353</v>
      </c>
      <c r="H71" s="25"/>
      <c r="I71" s="18"/>
      <c r="J71" s="18">
        <v>0</v>
      </c>
      <c r="K71" s="18">
        <v>0</v>
      </c>
      <c r="L71" s="18">
        <f>M71</f>
        <v>78353</v>
      </c>
      <c r="M71" s="18">
        <v>78353</v>
      </c>
      <c r="N71" s="18"/>
      <c r="O71" s="18">
        <f>P71</f>
        <v>78353</v>
      </c>
      <c r="P71" s="18">
        <v>78353</v>
      </c>
      <c r="Q71" s="18"/>
      <c r="R71" s="18">
        <f>SUM(S71:W71)</f>
        <v>78353</v>
      </c>
      <c r="S71" s="18">
        <v>453.7079999999987</v>
      </c>
      <c r="T71" s="18">
        <v>26435.439718</v>
      </c>
      <c r="U71" s="18">
        <f>L71-S71-T71</f>
        <v>51463.852282</v>
      </c>
      <c r="V71" s="18"/>
      <c r="W71" s="18"/>
      <c r="X71" s="18"/>
      <c r="Y71" s="18"/>
      <c r="Z71" s="15"/>
    </row>
    <row r="72" spans="1:26" s="38" customFormat="1" ht="55.5" customHeight="1">
      <c r="A72" s="15" t="s">
        <v>23</v>
      </c>
      <c r="B72" s="22" t="s">
        <v>73</v>
      </c>
      <c r="C72" s="17" t="s">
        <v>21</v>
      </c>
      <c r="D72" s="17" t="s">
        <v>22</v>
      </c>
      <c r="E72" s="25" t="s">
        <v>119</v>
      </c>
      <c r="F72" s="25" t="s">
        <v>75</v>
      </c>
      <c r="G72" s="18">
        <v>5628.2</v>
      </c>
      <c r="H72" s="25"/>
      <c r="I72" s="18"/>
      <c r="J72" s="18">
        <v>1204.00299</v>
      </c>
      <c r="K72" s="18">
        <v>1204.00299</v>
      </c>
      <c r="L72" s="18">
        <f>M72</f>
        <v>4424.19701</v>
      </c>
      <c r="M72" s="18">
        <f>G72-K72</f>
        <v>4424.19701</v>
      </c>
      <c r="N72" s="18"/>
      <c r="O72" s="18">
        <f>P72</f>
        <v>1204.00299</v>
      </c>
      <c r="P72" s="18">
        <f>J72-N72</f>
        <v>1204.00299</v>
      </c>
      <c r="Q72" s="18"/>
      <c r="R72" s="18">
        <f>SUM(S72:W72)</f>
        <v>1068.718</v>
      </c>
      <c r="S72" s="18">
        <v>1010.777325</v>
      </c>
      <c r="T72" s="18">
        <v>57.940675</v>
      </c>
      <c r="U72" s="18"/>
      <c r="V72" s="18"/>
      <c r="W72" s="18"/>
      <c r="X72" s="18"/>
      <c r="Y72" s="18"/>
      <c r="Z72" s="17" t="s">
        <v>209</v>
      </c>
    </row>
    <row r="73" spans="1:26" s="38" customFormat="1" ht="49.5">
      <c r="A73" s="56" t="s">
        <v>23</v>
      </c>
      <c r="B73" s="57" t="s">
        <v>197</v>
      </c>
      <c r="C73" s="58" t="s">
        <v>21</v>
      </c>
      <c r="D73" s="58" t="s">
        <v>22</v>
      </c>
      <c r="E73" s="59" t="s">
        <v>37</v>
      </c>
      <c r="F73" s="59" t="s">
        <v>198</v>
      </c>
      <c r="G73" s="60">
        <v>79187.671</v>
      </c>
      <c r="H73" s="59"/>
      <c r="I73" s="60"/>
      <c r="J73" s="60">
        <v>0</v>
      </c>
      <c r="K73" s="60">
        <v>0</v>
      </c>
      <c r="L73" s="60"/>
      <c r="M73" s="60"/>
      <c r="N73" s="60"/>
      <c r="O73" s="60">
        <v>79187.671</v>
      </c>
      <c r="P73" s="60">
        <v>79187.671</v>
      </c>
      <c r="Q73" s="60"/>
      <c r="R73" s="60">
        <f>SUM(S73:W73)</f>
        <v>79188</v>
      </c>
      <c r="S73" s="60"/>
      <c r="T73" s="60"/>
      <c r="U73" s="60">
        <v>10000</v>
      </c>
      <c r="V73" s="60">
        <v>30000</v>
      </c>
      <c r="W73" s="60">
        <v>39188</v>
      </c>
      <c r="X73" s="60"/>
      <c r="Y73" s="60"/>
      <c r="Z73" s="56"/>
    </row>
  </sheetData>
  <sheetProtection/>
  <mergeCells count="37">
    <mergeCell ref="L7:Z7"/>
    <mergeCell ref="F8:G8"/>
    <mergeCell ref="O8:W8"/>
    <mergeCell ref="S9:W9"/>
    <mergeCell ref="R9:R10"/>
    <mergeCell ref="L1:Z1"/>
    <mergeCell ref="A2:Z2"/>
    <mergeCell ref="A3:Z3"/>
    <mergeCell ref="A4:Z4"/>
    <mergeCell ref="A5:Z5"/>
    <mergeCell ref="A6:Z6"/>
    <mergeCell ref="F9:F10"/>
    <mergeCell ref="G9:G10"/>
    <mergeCell ref="H9:H10"/>
    <mergeCell ref="I9:I10"/>
    <mergeCell ref="J9:J10"/>
    <mergeCell ref="A8:A10"/>
    <mergeCell ref="B8:B10"/>
    <mergeCell ref="C8:C10"/>
    <mergeCell ref="D8:D10"/>
    <mergeCell ref="K9:K10"/>
    <mergeCell ref="L9:L10"/>
    <mergeCell ref="AB19:AF19"/>
    <mergeCell ref="AB28:AF28"/>
    <mergeCell ref="E8:E10"/>
    <mergeCell ref="Y9:Y10"/>
    <mergeCell ref="H8:I8"/>
    <mergeCell ref="J8:K8"/>
    <mergeCell ref="L8:N8"/>
    <mergeCell ref="X8:Y8"/>
    <mergeCell ref="AB50:AF50"/>
    <mergeCell ref="M9:N9"/>
    <mergeCell ref="O9:O10"/>
    <mergeCell ref="P9:Q9"/>
    <mergeCell ref="X9:X10"/>
    <mergeCell ref="Z8:Z10"/>
    <mergeCell ref="AB16:AF16"/>
  </mergeCells>
  <printOptions/>
  <pageMargins left="0.1968503937007874" right="0.15748031496062992" top="0.3937007874015748" bottom="0.4724409448818898" header="0.31496062992125984" footer="0.31496062992125984"/>
  <pageSetup horizontalDpi="600" verticalDpi="600" orientation="landscape" paperSize="9" scale="32" r:id="rId1"/>
  <headerFooter>
    <oddFooter>&amp;L&amp;10KH ĐTC trung hạn GĐ 2016-2020 (Điều chỉnh)&amp;R&amp;10Trang &amp;P</oddFooter>
  </headerFooter>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Mai Tai</dc:creator>
  <cp:keywords/>
  <dc:description/>
  <cp:lastModifiedBy>User</cp:lastModifiedBy>
  <cp:lastPrinted>2019-12-06T00:44:37Z</cp:lastPrinted>
  <dcterms:created xsi:type="dcterms:W3CDTF">2017-04-24T13:43:17Z</dcterms:created>
  <dcterms:modified xsi:type="dcterms:W3CDTF">2019-12-09T13:02:03Z</dcterms:modified>
  <cp:category/>
  <cp:version/>
  <cp:contentType/>
  <cp:contentStatus/>
</cp:coreProperties>
</file>