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0455" activeTab="0"/>
  </bookViews>
  <sheets>
    <sheet name="Tổng hợp  (2)" sheetId="1" r:id="rId1"/>
    <sheet name="Sheet2" sheetId="2" state="hidden" r:id="rId2"/>
    <sheet name="Sheet3" sheetId="3" state="hidden" r:id="rId3"/>
    <sheet name="Lương đầu năm" sheetId="4" state="hidden" r:id="rId4"/>
    <sheet name="Chi tiết" sheetId="5" state="hidden" r:id="rId5"/>
    <sheet name="Sheet1" sheetId="6" state="hidden" r:id="rId6"/>
    <sheet name="Sheet4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3">'Lương đầu năm'!$A$1:$Z$201</definedName>
    <definedName name="_xlnm.Print_Area" localSheetId="0">'Tổng hợp  (2)'!$A$1:$I$36</definedName>
    <definedName name="_xlnm.Print_Titles" localSheetId="0">'Tổng hợp  (2)'!$4:$5</definedName>
  </definedNames>
  <calcPr fullCalcOnLoad="1"/>
</workbook>
</file>

<file path=xl/sharedStrings.xml><?xml version="1.0" encoding="utf-8"?>
<sst xmlns="http://schemas.openxmlformats.org/spreadsheetml/2006/main" count="611" uniqueCount="352">
  <si>
    <t>STT</t>
  </si>
  <si>
    <t>Đơn vị</t>
  </si>
  <si>
    <t>Ghi chú</t>
  </si>
  <si>
    <t>I</t>
  </si>
  <si>
    <t>Hội Nông dân</t>
  </si>
  <si>
    <t>II</t>
  </si>
  <si>
    <t>III</t>
  </si>
  <si>
    <t>Sự nghiệp phát thanh</t>
  </si>
  <si>
    <t>Sự nghiệp kinh tế</t>
  </si>
  <si>
    <t>Trong đó</t>
  </si>
  <si>
    <t>Kinh phí điều chỉnh</t>
  </si>
  <si>
    <t>Điều chỉnh tăng</t>
  </si>
  <si>
    <t>Điều chỉnh giảm</t>
  </si>
  <si>
    <t>Tổng cộng</t>
  </si>
  <si>
    <t>Đvt: Đồng</t>
  </si>
  <si>
    <t>Trần Minh Luân</t>
  </si>
  <si>
    <t>Nguyễn Tuấn Toàn</t>
  </si>
  <si>
    <t>Đông Văn Sơn</t>
  </si>
  <si>
    <t>Phùng Ngọc Chiến</t>
  </si>
  <si>
    <t>Trần Phú Lợi</t>
  </si>
  <si>
    <t>Nguyễn Hữu Luân</t>
  </si>
  <si>
    <t>Lê Văn Trung</t>
  </si>
  <si>
    <t>Nguyễn Quang Thọ</t>
  </si>
  <si>
    <t>Trần Văn Chiến</t>
  </si>
  <si>
    <t>Đào Anh Tuấn</t>
  </si>
  <si>
    <t>Y Giang Ly</t>
  </si>
  <si>
    <t>Trần Việt Dũng</t>
  </si>
  <si>
    <t xml:space="preserve">Pờ Ly Hảo 
</t>
  </si>
  <si>
    <t>Rơ Chăm Luy</t>
  </si>
  <si>
    <t>Nguyễn Thanh Tuấn</t>
  </si>
  <si>
    <t>Nguyễn Văn Cường</t>
  </si>
  <si>
    <t>Hồ Thị Đào</t>
  </si>
  <si>
    <t>Lương Văn Thám</t>
  </si>
  <si>
    <t>Nguyễn Tiến Dũng</t>
  </si>
  <si>
    <t>A Khiên</t>
  </si>
  <si>
    <t xml:space="preserve">Bùi Văn Nhàng
</t>
  </si>
  <si>
    <t>Trần Nam Bộ</t>
  </si>
  <si>
    <t>Nguyễn Mạch</t>
  </si>
  <si>
    <t>Trần Xuân Đi</t>
  </si>
  <si>
    <t>Nguyễn Đình Thúy</t>
  </si>
  <si>
    <t>NgỤY Đình Phúc</t>
  </si>
  <si>
    <t>Võ Anh Tuấn</t>
  </si>
  <si>
    <t>Huyện ủy</t>
  </si>
  <si>
    <t>Phụ cấp trách nhiệm cấp ủy</t>
  </si>
  <si>
    <t>Bùi Thị Thanh Huệ</t>
  </si>
  <si>
    <t>Đinh Thị Hà</t>
  </si>
  <si>
    <t>Hà Thị Sen</t>
  </si>
  <si>
    <t>Ngô Văn Hải</t>
  </si>
  <si>
    <t>Đỗ Thanh Nam</t>
  </si>
  <si>
    <t>Huỳnh Ngọc Hưng</t>
  </si>
  <si>
    <t>Lương Viết Tú</t>
  </si>
  <si>
    <t>Hồ Đắc Thụy Xuân Hương</t>
  </si>
  <si>
    <t>Đinh Văn Định</t>
  </si>
  <si>
    <t>Duy Mạnh Hùng</t>
  </si>
  <si>
    <t>Lý Văn Hải</t>
  </si>
  <si>
    <t>Nguyễn Thị Hồng Lan</t>
  </si>
  <si>
    <t>Trần Qúy Phương</t>
  </si>
  <si>
    <t xml:space="preserve">Nguyễn Tiến Dũng </t>
  </si>
  <si>
    <t xml:space="preserve">Nguyễn Văn Lộc </t>
  </si>
  <si>
    <t>Nguyễn Hoài Nam</t>
  </si>
  <si>
    <t>Ngô Văn Thuy</t>
  </si>
  <si>
    <t>Văn phòng HĐND-UBND</t>
  </si>
  <si>
    <t>Cấp huyện</t>
  </si>
  <si>
    <t>Kinh phí Đại biểu HĐND các cấp</t>
  </si>
  <si>
    <t>Nguyễn Tất Thắng</t>
  </si>
  <si>
    <t>Hội Cựu chiến binh</t>
  </si>
  <si>
    <t>9.2.2.5</t>
  </si>
  <si>
    <t>Hoàng Thị Thanh Hiền</t>
  </si>
  <si>
    <t>Huyện đoàn</t>
  </si>
  <si>
    <t>9.2.2.4</t>
  </si>
  <si>
    <t>01 BC</t>
  </si>
  <si>
    <t>Hội nông dân</t>
  </si>
  <si>
    <t>9.2.2.3</t>
  </si>
  <si>
    <t>Biên chế</t>
  </si>
  <si>
    <t>Hội liên hiệp phụ nữ</t>
  </si>
  <si>
    <t>9.2.2.2</t>
  </si>
  <si>
    <t>Nguyễn Xuân Thái</t>
  </si>
  <si>
    <t>Trần Thị Loan</t>
  </si>
  <si>
    <t>Rô Man Duyên</t>
  </si>
  <si>
    <t>Po Ly Hao</t>
  </si>
  <si>
    <t>Uỷ ban MTTQ VN</t>
  </si>
  <si>
    <t>9.2.2.1</t>
  </si>
  <si>
    <t>Đoàn thể</t>
  </si>
  <si>
    <t>9.2.2</t>
  </si>
  <si>
    <t>Uông Hữu Thỉnh</t>
  </si>
  <si>
    <t>Phu cấp cấp ủy viên</t>
  </si>
  <si>
    <t>*</t>
  </si>
  <si>
    <t>6 bc</t>
  </si>
  <si>
    <t>Hoàng Thị Thùy Linh</t>
  </si>
  <si>
    <t>Lê Xuân Tiến</t>
  </si>
  <si>
    <t>Mai Thị Hoàng Vân</t>
  </si>
  <si>
    <t>Nguyễn Thị Kim Huệ</t>
  </si>
  <si>
    <t>Cao Thị Thúy</t>
  </si>
  <si>
    <t>Vũ Mạnh Đạt</t>
  </si>
  <si>
    <t>Đoàn Xuân Tùng</t>
  </si>
  <si>
    <t>Lê Đại Lợi</t>
  </si>
  <si>
    <t>Nguyễn Ngọc Trùng Dương</t>
  </si>
  <si>
    <t>Nguyễn Thị Hồng Vân</t>
  </si>
  <si>
    <t>Đặng Chí Bảo</t>
  </si>
  <si>
    <t>Nguyễn Ngọc Quang</t>
  </si>
  <si>
    <t>Hà Ngọc Khanh</t>
  </si>
  <si>
    <t>Rơ Châm Luy</t>
  </si>
  <si>
    <t>Dương Thị Mộng Thu</t>
  </si>
  <si>
    <t>Nguyễn Thế Hằng</t>
  </si>
  <si>
    <t>Nguyễn Vĩnh Thịnh</t>
  </si>
  <si>
    <t>Phạm Quang Hiệp</t>
  </si>
  <si>
    <t>Trần Ngọc Hòa</t>
  </si>
  <si>
    <t>Lê Thu Hà</t>
  </si>
  <si>
    <t>Võ Quang Hiền</t>
  </si>
  <si>
    <t>Nguyễn Hữu Thạch</t>
  </si>
  <si>
    <t>Huyện Ủy</t>
  </si>
  <si>
    <t>9.2.1</t>
  </si>
  <si>
    <t>Khối Đảng, Đoàn thể</t>
  </si>
  <si>
    <t>9.2</t>
  </si>
  <si>
    <t>Thao Nắp</t>
  </si>
  <si>
    <t>Phòng Tư pháp</t>
  </si>
  <si>
    <t>9.1.9</t>
  </si>
  <si>
    <t>Huỳnh Thị Thanh Bạch</t>
  </si>
  <si>
    <t>Đào Tuấn Bình</t>
  </si>
  <si>
    <t>1 bc</t>
  </si>
  <si>
    <t>Phòng lao động thương binh và xã hội</t>
  </si>
  <si>
    <t>9.1.8</t>
  </si>
  <si>
    <t>Lê Bá Khánh Luân</t>
  </si>
  <si>
    <t>Trần Thị Y</t>
  </si>
  <si>
    <t>Trịnh Văn Huy</t>
  </si>
  <si>
    <t>Thạch Xuân Hào</t>
  </si>
  <si>
    <t>Phòng Giáo dục và đào tạo</t>
  </si>
  <si>
    <t>9.1.7</t>
  </si>
  <si>
    <t>Thanh tra huyện</t>
  </si>
  <si>
    <t>9.1.6</t>
  </si>
  <si>
    <t>Huỳnh Tấn Vũ</t>
  </si>
  <si>
    <t>Thaân Văn Hoàn</t>
  </si>
  <si>
    <t>Nguyễn Minh Thu</t>
  </si>
  <si>
    <t>Phòng Nông nghiệp&amp;PTNT</t>
  </si>
  <si>
    <t>9.1.5</t>
  </si>
  <si>
    <t>Vi Thị Mừng</t>
  </si>
  <si>
    <t>03 BC</t>
  </si>
  <si>
    <t>Phạm Tiến Tâm</t>
  </si>
  <si>
    <t>Phòng tài chính - kế hoạch</t>
  </si>
  <si>
    <t>9.1.4</t>
  </si>
  <si>
    <t>Vũ Văn Nhân</t>
  </si>
  <si>
    <t>Nguyễn Thu Trang</t>
  </si>
  <si>
    <t>01 bc</t>
  </si>
  <si>
    <t>Hoàng Trọng Quảng</t>
  </si>
  <si>
    <t>Lê Văn Bình</t>
  </si>
  <si>
    <t>Phòng kinh tế-hạ tầng</t>
  </si>
  <si>
    <t>9.1.2</t>
  </si>
  <si>
    <t>Bùi Văn Nhàng</t>
  </si>
  <si>
    <t>Văn phòng HĐND - UBND</t>
  </si>
  <si>
    <t>9.1.1</t>
  </si>
  <si>
    <t>Quản lý nhà nước</t>
  </si>
  <si>
    <t>9.1</t>
  </si>
  <si>
    <t>Quản lý nhà nước, đảng, đoàn thể</t>
  </si>
  <si>
    <t>Lò Văn Tình</t>
  </si>
  <si>
    <t>Trần Mạnh Hùng</t>
  </si>
  <si>
    <t>Trần Hưng Long</t>
  </si>
  <si>
    <t>Y Thị Bảo Yến</t>
  </si>
  <si>
    <t xml:space="preserve">Phạm Văn Tiến </t>
  </si>
  <si>
    <t>Trung tâm dịch vụ nông nghiệp huyện</t>
  </si>
  <si>
    <t>8.1</t>
  </si>
  <si>
    <t>Đảm bảo xã hội</t>
  </si>
  <si>
    <t>Thể dục - thể thao</t>
  </si>
  <si>
    <t>01BC</t>
  </si>
  <si>
    <t>Nguyễn Thị Cúc</t>
  </si>
  <si>
    <t>Lại thế thành</t>
  </si>
  <si>
    <t>Ngô Thị Hằng</t>
  </si>
  <si>
    <t>Phạm Công Phùng</t>
  </si>
  <si>
    <t>Lê Văn Cao</t>
  </si>
  <si>
    <t>Sự nghiệp văn hóa 
(Trung tâm VH TT-DL và TT huyện)</t>
  </si>
  <si>
    <t>KHU VỰC HCSN, ĐẢNG, ĐOÀN THỂ</t>
  </si>
  <si>
    <t>Tổng cộng (I+II+III+IV+V)</t>
  </si>
  <si>
    <t>25 = (5)*1.390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</si>
  <si>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</si>
  <si>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</si>
  <si>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</si>
  <si>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</si>
  <si>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</si>
  <si>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</si>
  <si>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</si>
  <si>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</si>
  <si>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</si>
  <si>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</si>
  <si>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</si>
  <si>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</si>
  <si>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</si>
  <si>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</si>
  <si>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</si>
  <si>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</si>
  <si>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7=8+…+22</t>
  </si>
  <si>
    <t>6</t>
  </si>
  <si>
    <t>5=6+7+23</t>
  </si>
  <si>
    <t>4</t>
  </si>
  <si>
    <t>3</t>
  </si>
  <si>
    <t>2</t>
  </si>
  <si>
    <t>Các khoản đóng góp BHXH, BHYT, KPCĐ</t>
  </si>
  <si>
    <t>Phụ cấp
 khác</t>
  </si>
  <si>
    <t>Phụ cấp kiêm nhiệm</t>
  </si>
  <si>
    <t>Phụ cấp
trách nhiệm</t>
  </si>
  <si>
    <t>Phụ cấp 
theo HD 05</t>
  </si>
  <si>
    <t>Phụ cấp
 Đại biểu HĐND</t>
  </si>
  <si>
    <t>Phụ cấp 
cấp ủy</t>
  </si>
  <si>
    <t>Phụ cấp 
lâu năm</t>
  </si>
  <si>
    <t>Phụ cấp
 phân loại xã</t>
  </si>
  <si>
    <t>Phụ cấp
 công vụ</t>
  </si>
  <si>
    <t>Phụ cấp 
ưu đãi ngành</t>
  </si>
  <si>
    <t>Phụ cấp
 thâm niên nghề</t>
  </si>
  <si>
    <t>Phụ cấp
 thu hút</t>
  </si>
  <si>
    <t xml:space="preserve">Phụ cấp
 đặc biệt </t>
  </si>
  <si>
    <t>Phụ cấp
 thâm niên vượt khung</t>
  </si>
  <si>
    <t xml:space="preserve">Phụ cấp chức vụ, 
</t>
  </si>
  <si>
    <t>Phụ cấp
 khu vực</t>
  </si>
  <si>
    <t>Tổng các khoản phụ cấp</t>
  </si>
  <si>
    <t>Lương theo ngạch bậc, chức vụ</t>
  </si>
  <si>
    <t>Nhu cầu kinh phí 01 tháng theo Nghị định 35/2019/NĐ-CP</t>
  </si>
  <si>
    <t>HỆ SỐ TIỀN LƯƠNG, PHỤ CẤP VÀ CÁC KHOẢN ĐÓNG GÓP THÁNG 11/2020</t>
  </si>
  <si>
    <t>Tổng số đối tượng có mặt đến 1/10/2020</t>
  </si>
  <si>
    <t>Biên chế được cấp có thẩm quyền phê duyệt năm 2020</t>
  </si>
  <si>
    <t>Tên đơn vị</t>
  </si>
  <si>
    <t>BÁO CÁO NHU CẦU KINH PHÍ TiỀN LƯƠNG NĂM 2018 THEO NGHỊ ĐỊNH SỐ 72/2018/NĐ-CP</t>
  </si>
  <si>
    <t>BÁO CÁO NHU CẦU KINH PHÍ THỰC HIỆN NGHỊ ĐỊNH 47/2016/NĐ-CP NĂM 2016</t>
  </si>
  <si>
    <t>Nhu cầu kinh phí năm 2021</t>
  </si>
  <si>
    <t>BiỂU SỐ 2</t>
  </si>
  <si>
    <t>BÁO CÁO NHU CẦU KINH PHÍ TiỀN LƯƠNG NĂM 2021</t>
  </si>
  <si>
    <t>(Kèm theo công văn số     /TCKH-NS ngày    /      /2021của phòng Tài chính - Kế hoạch huyện)</t>
  </si>
  <si>
    <t>Biên chế được cấp có thẩm quyền phê duyệt năm 2021</t>
  </si>
  <si>
    <t>HỆ SỐ TIỀN LƯƠNG, PHỤ CẤP VÀ CÁC KHOẢN ĐÓNG GÓP THAY ĐỔI TRONG NĂM</t>
  </si>
  <si>
    <t>Phụ cấp chức vụ, 
trách nhiệm</t>
  </si>
  <si>
    <t>Phụ cấp
 kiêm nhiệm</t>
  </si>
  <si>
    <t>23= (4)*số tháng* mức lương cơ sở</t>
  </si>
  <si>
    <t>Văn hóa thông tin</t>
  </si>
  <si>
    <t>Phát thanh truyền hình</t>
  </si>
  <si>
    <t>Lãi Thế Thành</t>
  </si>
  <si>
    <t>Kosr Sửu</t>
  </si>
  <si>
    <t>Trung tâm Văn hóa - Thể thao - Du lịch và Truyền thông</t>
  </si>
  <si>
    <t>Nguyễn Văn Sĩ</t>
  </si>
  <si>
    <t>Lưu Thị Thanh Xuân</t>
  </si>
  <si>
    <t>Nguyễn T. Phương Dung</t>
  </si>
  <si>
    <t>Nguyễn Văn Hưởng</t>
  </si>
  <si>
    <t>Phan Văn Tiến</t>
  </si>
  <si>
    <t>Lò Đức Tình</t>
  </si>
  <si>
    <t>1BC chưa có mặt</t>
  </si>
  <si>
    <t>4.1</t>
  </si>
  <si>
    <t>T1-T12</t>
  </si>
  <si>
    <t>T1-T3</t>
  </si>
  <si>
    <t>T4-T12</t>
  </si>
  <si>
    <t>T1</t>
  </si>
  <si>
    <t>T2-T12</t>
  </si>
  <si>
    <t>4.2</t>
  </si>
  <si>
    <t xml:space="preserve">Phòng Tài chính - Kế hoạch </t>
  </si>
  <si>
    <t>Huỳnh Thị Thu Tâm</t>
  </si>
  <si>
    <t>4.3</t>
  </si>
  <si>
    <t>Phòng Kinh tế và hạ tầng</t>
  </si>
  <si>
    <t>4.4</t>
  </si>
  <si>
    <t>Phòng Nông nghiệp và phát triển nông thôn</t>
  </si>
  <si>
    <t>Trần Quý Phương</t>
  </si>
  <si>
    <t>T1-T2</t>
  </si>
  <si>
    <t>4.5</t>
  </si>
  <si>
    <t>Phòng Lao động - Thương binh &amp; XH</t>
  </si>
  <si>
    <t>01 Biên chế</t>
  </si>
  <si>
    <t>4.6</t>
  </si>
  <si>
    <t xml:space="preserve">Phòng Tư pháp </t>
  </si>
  <si>
    <t>T3-T12</t>
  </si>
  <si>
    <t>4.7</t>
  </si>
  <si>
    <t>Phòng Gi áo dục và đào tạo</t>
  </si>
  <si>
    <t xml:space="preserve">Biên chế k có mặt </t>
  </si>
  <si>
    <t>01 biên chế k có mặt</t>
  </si>
  <si>
    <t>Trung tâm VH TT-DL và TT huyện</t>
  </si>
  <si>
    <t>Nguyễn Thị Phương Dung</t>
  </si>
  <si>
    <t>Uông Hưu Thỉnh</t>
  </si>
  <si>
    <t>Hợp đồng không kỳ hạn theo NĐ 68</t>
  </si>
  <si>
    <t>Trịnh Năng Hiếu</t>
  </si>
  <si>
    <t>Nguyễn Hữu Giang</t>
  </si>
  <si>
    <t>Vi Thị Hương</t>
  </si>
  <si>
    <t>Vi Thị Mừng (nghỉ thai sản)</t>
  </si>
  <si>
    <t>Thân Văn Hoàn</t>
  </si>
  <si>
    <t>01 biên chế</t>
  </si>
  <si>
    <t>1</t>
  </si>
  <si>
    <t xml:space="preserve">Pờ Ly Hảo </t>
  </si>
  <si>
    <t>01 bc chưa có mặt</t>
  </si>
  <si>
    <t>Ủy ban MT TQ VN huyện</t>
  </si>
  <si>
    <t>Hồ Đắc Thuỵ Xuân Hương</t>
  </si>
  <si>
    <t>Hội phụ nữ</t>
  </si>
  <si>
    <t xml:space="preserve">Nguyễn Hữu Luân </t>
  </si>
  <si>
    <t>5.1</t>
  </si>
  <si>
    <t>5.2</t>
  </si>
  <si>
    <t>5.3</t>
  </si>
  <si>
    <t>5.4</t>
  </si>
  <si>
    <t>5.5</t>
  </si>
  <si>
    <t>5.6</t>
  </si>
  <si>
    <t>Chênh lệch (bổ sung /thu hồi)</t>
  </si>
  <si>
    <t>từ tháng 1-9</t>
  </si>
  <si>
    <t>từ tháng 
10-12</t>
  </si>
  <si>
    <t>từ tháng 1-2</t>
  </si>
  <si>
    <t>từ tháng 3-10</t>
  </si>
  <si>
    <t>từ tháng 
11/2021</t>
  </si>
  <si>
    <t>từ tháng 1-3</t>
  </si>
  <si>
    <t>từ tháng 4-11</t>
  </si>
  <si>
    <t>từ tháng 12/2021</t>
  </si>
  <si>
    <t>từ tháng 4-12</t>
  </si>
  <si>
    <t>từ tháng 1-10</t>
  </si>
  <si>
    <t>từ tháng 11-12</t>
  </si>
  <si>
    <t>từ tháng 5-12</t>
  </si>
  <si>
    <t>tháng 1-2</t>
  </si>
  <si>
    <t>Nguyễn Hà Quang</t>
  </si>
  <si>
    <t>Lê Đình Thanh</t>
  </si>
  <si>
    <t>Dương Văn Hà</t>
  </si>
  <si>
    <t>Lữ Thị Luyến</t>
  </si>
  <si>
    <t xml:space="preserve">Hợp đồng </t>
  </si>
  <si>
    <t>02 biên chế</t>
  </si>
  <si>
    <t xml:space="preserve">    </t>
  </si>
  <si>
    <t>A</t>
  </si>
  <si>
    <t>B</t>
  </si>
  <si>
    <t>-</t>
  </si>
  <si>
    <t>06 biên chế không có mặt</t>
  </si>
  <si>
    <t xml:space="preserve">01 bc bổ sung </t>
  </si>
  <si>
    <t>Trần Quang Trung</t>
  </si>
  <si>
    <t>thu hút</t>
  </si>
  <si>
    <t>ĐIỀU CHỈNH NHIỆM VỤ CHI ĐẦU TƯ NĂM 2021</t>
  </si>
  <si>
    <t>Ban QL ĐT&amp;XD huyện</t>
  </si>
  <si>
    <t>Cầu Drai (đường giao thông nối trung tâm hành chính huyện với đường tuần ra biên giới tại khu vực Hồ Le)</t>
  </si>
  <si>
    <t>Trường Tiểu học - THCS Nguyễn Du, xã Ia Dom huyện Ia H’Drai (Phòng học, phòng bộ môn, thư viện, thiết bị)</t>
  </si>
  <si>
    <t>Hủy dự toán</t>
  </si>
  <si>
    <t>Hệ thống nước sạch các trường học trên địa bàn huyện Ia H'Drai</t>
  </si>
  <si>
    <t>Hết nhiệm vụ chi</t>
  </si>
  <si>
    <t>Hết nhiệm vụ chi, đề nghị phân bổ lại khi thực hiện giai đoạn 2</t>
  </si>
  <si>
    <t>Dự án mở rộng Quốc lộ 14C (đoạn từ N2-N5)</t>
  </si>
  <si>
    <t>Hết nhiệm vụ chi.</t>
  </si>
  <si>
    <t>Đường giao thông từ trung tâm xã Ia Đal đến tiếp giáp Dự án đường từ cầu Drai đến đường tuần tra biên giới tại khu vực Hồ Le</t>
  </si>
  <si>
    <t>Đường từ thôn 1 đi thôn 9 xã Ia Tơi</t>
  </si>
  <si>
    <t>Đề nghị phân bổ năm 2022 thực hiện</t>
  </si>
  <si>
    <t>Sau điều chỉnh</t>
  </si>
  <si>
    <t>Tổng dự toán đã giao</t>
  </si>
  <si>
    <t>Dự án: Chợ trung tâm huyện</t>
  </si>
  <si>
    <t>Nâng cấp, sửa chữa Trung tâm Văn hóa –Thể thao –Du lịch và Truyền thông</t>
  </si>
  <si>
    <t>Công trình Đường ĐĐT22 (N32-N33)</t>
  </si>
  <si>
    <t>Công trình Đường ĐĐT23 (N34-N35)</t>
  </si>
  <si>
    <t>Công trình Đường ĐĐT24 (N37-N36)</t>
  </si>
  <si>
    <t>Công trình Đường ĐĐT37 (N7-N75)</t>
  </si>
  <si>
    <t>Phân cấp hỗ trợ xây dựng nông thôn mới (Ưu tiên đầu tư các công trình GD-ĐT)</t>
  </si>
  <si>
    <t>Trường mầm non Măng Non  (bếp ăn, nhà công vụ)</t>
  </si>
  <si>
    <t>Trường mầm non Tuổi Ngọc (phòng học, phòng chức năng, bếp ăn, nhà công vụ)</t>
  </si>
  <si>
    <t>Kế hoạch vốn năm 2021</t>
  </si>
  <si>
    <t>Kế hoạch vốn năm 2020 chuyển qua năm 2021</t>
  </si>
  <si>
    <t xml:space="preserve">Nguồn phân cấp đầu tư các công trình cấp bách </t>
  </si>
  <si>
    <t xml:space="preserve">Nguồn ngân sách tỉnh bổ sung có mục tiêu </t>
  </si>
  <si>
    <t xml:space="preserve">Phân cấp đầu tư từ nguồn thu tiền sử dụng đất trong cân đối </t>
  </si>
  <si>
    <t>Công trình Thủy lợi Hồ chứa nước xã IV (Thôn 1, thôn 2, xã Ia Đal, huyện Ia H'Drai)</t>
  </si>
  <si>
    <t>Công trình đã quyết toán</t>
  </si>
  <si>
    <t>Nhu cầu vốn còn phải thực hiện từ nay đến hết niên độ ngân sách năm  2021</t>
  </si>
  <si>
    <t>Tổng cộng (A+B)</t>
  </si>
  <si>
    <t xml:space="preserve">Nguồn vốn phân cấp cân đối theo tiêu chí theo quy định tại Nghị quyết số  63/2020/NQ-HĐND tỉnh </t>
  </si>
  <si>
    <t>(Kèm theo Nghị quyết số...... /NQ-HĐND ngày ...../11/2021 của Hội đồng nhân dân huyện Ia H'Drai)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</si>
</sst>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00_);_(* \(#,##0.000\);_(* &quot;-&quot;??_);_(@_)"/>
    <numFmt numFmtId="181" formatCode="_(* #,##0_);_(* \(#,##0\);_(* &quot;-&quot;??_);_(@_)"/>
    <numFmt numFmtId="182" formatCode="_(* #,##0_);_(* \(#,##0\);_(* &quot;-&quot;???_);_(@_)"/>
    <numFmt numFmtId="183" formatCode="_-* #,##0_-;\-* #,##0_-;_-* &quot;-&quot;??_-;_-@_-"/>
    <numFmt numFmtId="184" formatCode="_(&quot;£&quot;\ * #,##0_);_(&quot;£&quot;\ * \(#,##0\);_(&quot;£&quot;\ * &quot;-&quot;_);_(@_)"/>
    <numFmt numFmtId="185" formatCode="_-* #,##0.000_-;\-* #,##0.000_-;_-* &quot;-&quot;??_-;_-@_-"/>
    <numFmt numFmtId="186" formatCode="_-* #,##0.0000_-;\-* #,##0.0000_-;_-* &quot;-&quot;??_-;_-@_-"/>
    <numFmt numFmtId="187" formatCode="&quot;€&quot;###,0&quot;.&quot;00_);\(&quot;€&quot;###,0&quot;.&quot;00\)"/>
    <numFmt numFmtId="188" formatCode="#,##0.0"/>
    <numFmt numFmtId="189" formatCode="0.0000"/>
    <numFmt numFmtId="190" formatCode="#,##0.0000"/>
    <numFmt numFmtId="191" formatCode="#,##0.000"/>
    <numFmt numFmtId="192" formatCode="_-* #,##0.0_-;\-* #,##0.0_-;_-* &quot;-&quot;??_-;_-@_-"/>
    <numFmt numFmtId="193" formatCode="#,##0.0_ ;\-#,##0.0\ "/>
    <numFmt numFmtId="194" formatCode="_(* #,##0.0_);_(* \(#,##0.0\);_(* &quot;-&quot;??_);_(@_)"/>
    <numFmt numFmtId="195" formatCode="_(* #,##0.0_);_(* \(#,##0.0\);_(* \-??_);_(@_)"/>
    <numFmt numFmtId="196" formatCode="#,##0_ ;\-#,##0\ "/>
    <numFmt numFmtId="197" formatCode="_(* #,##0.000_);_(* \(#,##0.000\);_(* &quot;-&quot;???_);_(@_)"/>
    <numFmt numFmtId="198" formatCode="_(* #,##0.0000_);_(* \(#,##0.0000\);_(* &quot;-&quot;??_);_(@_)"/>
    <numFmt numFmtId="199" formatCode="_(* #,##0.0_);_(* \(#,##0.0\);_(* &quot;-&quot;?_);_(@_)"/>
    <numFmt numFmtId="200" formatCode="_-* #,##0.00000_-;\-* #,##0.00000_-;_-* &quot;-&quot;??_-;_-@_-"/>
    <numFmt numFmtId="201" formatCode="_(* #,##0.00000_);_(* \(#,##0.00000\);_(* &quot;-&quot;??_);_(@_)"/>
    <numFmt numFmtId="202" formatCode="_(* #,##0.000000_);_(* \(#,##0.00000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000_);_(* \(#,##0.0000\);_(* &quot;-&quot;????_);_(@_)"/>
    <numFmt numFmtId="208" formatCode="_(* #,##0.00000_);_(* \(#,##0.00000\);_(* &quot;-&quot;???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1"/>
      <name val="Arial Narrow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Narrow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.Vn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Arial Narrow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16">
    <xf numFmtId="0" fontId="0" fillId="0" borderId="0" xfId="0" applyFont="1" applyAlignment="1">
      <alignment/>
    </xf>
    <xf numFmtId="181" fontId="70" fillId="0" borderId="0" xfId="42" applyNumberFormat="1" applyFont="1" applyAlignment="1">
      <alignment/>
    </xf>
    <xf numFmtId="182" fontId="3" fillId="0" borderId="10" xfId="0" applyNumberFormat="1" applyFont="1" applyBorder="1" applyAlignment="1">
      <alignment vertical="center" wrapText="1"/>
    </xf>
    <xf numFmtId="0" fontId="5" fillId="0" borderId="0" xfId="61" applyFont="1" applyFill="1" applyAlignment="1">
      <alignment horizontal="center" vertical="center"/>
      <protection/>
    </xf>
    <xf numFmtId="183" fontId="5" fillId="0" borderId="10" xfId="47" applyNumberFormat="1" applyFont="1" applyFill="1" applyBorder="1" applyAlignment="1">
      <alignment horizontal="center" vertical="center"/>
    </xf>
    <xf numFmtId="183" fontId="5" fillId="0" borderId="10" xfId="45" applyNumberFormat="1" applyFont="1" applyFill="1" applyBorder="1" applyAlignment="1">
      <alignment horizontal="left" vertical="center"/>
    </xf>
    <xf numFmtId="0" fontId="5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2" fillId="0" borderId="0" xfId="61" applyFont="1" applyFill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 wrapText="1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left"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center" vertical="center"/>
      <protection/>
    </xf>
    <xf numFmtId="183" fontId="8" fillId="0" borderId="0" xfId="61" applyNumberFormat="1" applyFont="1" applyFill="1" applyAlignment="1">
      <alignment horizontal="center" vertical="center"/>
      <protection/>
    </xf>
    <xf numFmtId="183" fontId="5" fillId="0" borderId="10" xfId="61" applyNumberFormat="1" applyFont="1" applyFill="1" applyBorder="1" applyAlignment="1">
      <alignment horizontal="center" vertical="center"/>
      <protection/>
    </xf>
    <xf numFmtId="183" fontId="8" fillId="0" borderId="10" xfId="61" applyNumberFormat="1" applyFont="1" applyFill="1" applyBorder="1" applyAlignment="1">
      <alignment horizontal="center" vertical="center"/>
      <protection/>
    </xf>
    <xf numFmtId="183" fontId="8" fillId="33" borderId="0" xfId="61" applyNumberFormat="1" applyFont="1" applyFill="1" applyAlignment="1">
      <alignment horizontal="center" vertical="center"/>
      <protection/>
    </xf>
    <xf numFmtId="183" fontId="8" fillId="33" borderId="10" xfId="61" applyNumberFormat="1" applyFont="1" applyFill="1" applyBorder="1" applyAlignment="1">
      <alignment horizontal="center" vertical="center"/>
      <protection/>
    </xf>
    <xf numFmtId="183" fontId="5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183" fontId="5" fillId="0" borderId="0" xfId="61" applyNumberFormat="1" applyFont="1" applyFill="1">
      <alignment/>
      <protection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179" fontId="71" fillId="0" borderId="0" xfId="42" applyNumberFormat="1" applyFont="1" applyAlignment="1">
      <alignment/>
    </xf>
    <xf numFmtId="179" fontId="71" fillId="34" borderId="0" xfId="42" applyNumberFormat="1" applyFont="1" applyFill="1" applyAlignment="1">
      <alignment horizontal="center"/>
    </xf>
    <xf numFmtId="179" fontId="71" fillId="0" borderId="0" xfId="42" applyNumberFormat="1" applyFont="1" applyAlignment="1">
      <alignment/>
    </xf>
    <xf numFmtId="0" fontId="72" fillId="0" borderId="0" xfId="0" applyFont="1" applyAlignment="1">
      <alignment/>
    </xf>
    <xf numFmtId="0" fontId="71" fillId="0" borderId="0" xfId="0" applyFont="1" applyAlignment="1">
      <alignment horizontal="center"/>
    </xf>
    <xf numFmtId="179" fontId="71" fillId="0" borderId="0" xfId="42" applyNumberFormat="1" applyFont="1" applyAlignment="1">
      <alignment horizontal="center"/>
    </xf>
    <xf numFmtId="179" fontId="71" fillId="0" borderId="11" xfId="42" applyNumberFormat="1" applyFont="1" applyBorder="1" applyAlignment="1">
      <alignment horizontal="center"/>
    </xf>
    <xf numFmtId="0" fontId="71" fillId="0" borderId="0" xfId="0" applyFont="1" applyAlignment="1">
      <alignment horizontal="center" vertical="center"/>
    </xf>
    <xf numFmtId="179" fontId="71" fillId="0" borderId="10" xfId="42" applyNumberFormat="1" applyFont="1" applyBorder="1" applyAlignment="1">
      <alignment horizontal="center" vertical="center" wrapText="1"/>
    </xf>
    <xf numFmtId="179" fontId="71" fillId="0" borderId="12" xfId="42" applyNumberFormat="1" applyFont="1" applyBorder="1" applyAlignment="1">
      <alignment horizontal="center" vertical="center" wrapText="1"/>
    </xf>
    <xf numFmtId="43" fontId="71" fillId="0" borderId="0" xfId="0" applyNumberFormat="1" applyFont="1" applyAlignment="1">
      <alignment horizontal="center" vertical="center"/>
    </xf>
    <xf numFmtId="183" fontId="72" fillId="0" borderId="13" xfId="0" applyNumberFormat="1" applyFont="1" applyBorder="1" applyAlignment="1">
      <alignment horizontal="center" vertical="center"/>
    </xf>
    <xf numFmtId="183" fontId="72" fillId="0" borderId="13" xfId="0" applyNumberFormat="1" applyFont="1" applyBorder="1" applyAlignment="1" quotePrefix="1">
      <alignment horizontal="center" vertical="center"/>
    </xf>
    <xf numFmtId="183" fontId="72" fillId="0" borderId="13" xfId="42" applyNumberFormat="1" applyFont="1" applyBorder="1" applyAlignment="1" quotePrefix="1">
      <alignment horizontal="center" vertical="center" wrapText="1"/>
    </xf>
    <xf numFmtId="183" fontId="72" fillId="34" borderId="13" xfId="42" applyNumberFormat="1" applyFont="1" applyFill="1" applyBorder="1" applyAlignment="1" quotePrefix="1">
      <alignment horizontal="center" vertical="center" wrapText="1"/>
    </xf>
    <xf numFmtId="183" fontId="72" fillId="0" borderId="13" xfId="0" applyNumberFormat="1" applyFont="1" applyBorder="1" applyAlignment="1" quotePrefix="1">
      <alignment horizontal="center" vertical="center" wrapText="1"/>
    </xf>
    <xf numFmtId="183" fontId="72" fillId="0" borderId="0" xfId="0" applyNumberFormat="1" applyFont="1" applyAlignment="1">
      <alignment horizontal="center" vertical="center"/>
    </xf>
    <xf numFmtId="183" fontId="71" fillId="0" borderId="14" xfId="0" applyNumberFormat="1" applyFont="1" applyBorder="1" applyAlignment="1">
      <alignment horizontal="center" vertical="center"/>
    </xf>
    <xf numFmtId="43" fontId="71" fillId="34" borderId="14" xfId="42" applyFont="1" applyFill="1" applyBorder="1" applyAlignment="1" quotePrefix="1">
      <alignment horizontal="center" vertical="center" wrapText="1"/>
    </xf>
    <xf numFmtId="183" fontId="71" fillId="0" borderId="0" xfId="0" applyNumberFormat="1" applyFont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0" fontId="71" fillId="0" borderId="14" xfId="0" applyFont="1" applyBorder="1" applyAlignment="1">
      <alignment vertical="center" wrapText="1"/>
    </xf>
    <xf numFmtId="43" fontId="71" fillId="0" borderId="14" xfId="42" applyFont="1" applyBorder="1" applyAlignment="1" quotePrefix="1">
      <alignment horizontal="center" vertical="center" wrapText="1"/>
    </xf>
    <xf numFmtId="0" fontId="71" fillId="34" borderId="14" xfId="0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vertical="center"/>
    </xf>
    <xf numFmtId="179" fontId="71" fillId="34" borderId="14" xfId="42" applyNumberFormat="1" applyFont="1" applyFill="1" applyBorder="1" applyAlignment="1">
      <alignment horizontal="center" vertical="center"/>
    </xf>
    <xf numFmtId="179" fontId="72" fillId="34" borderId="14" xfId="42" applyNumberFormat="1" applyFont="1" applyFill="1" applyBorder="1" applyAlignment="1">
      <alignment horizontal="center" vertical="center"/>
    </xf>
    <xf numFmtId="179" fontId="15" fillId="34" borderId="14" xfId="42" applyNumberFormat="1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horizontal="center" vertical="center"/>
    </xf>
    <xf numFmtId="0" fontId="72" fillId="34" borderId="14" xfId="0" applyFont="1" applyFill="1" applyBorder="1" applyAlignment="1">
      <alignment vertical="center"/>
    </xf>
    <xf numFmtId="0" fontId="71" fillId="34" borderId="0" xfId="0" applyFont="1" applyFill="1" applyAlignment="1">
      <alignment horizontal="center" vertical="center"/>
    </xf>
    <xf numFmtId="0" fontId="72" fillId="34" borderId="0" xfId="0" applyFont="1" applyFill="1" applyAlignment="1">
      <alignment horizontal="center" vertical="center"/>
    </xf>
    <xf numFmtId="183" fontId="15" fillId="34" borderId="14" xfId="46" applyNumberFormat="1" applyFont="1" applyFill="1" applyBorder="1" applyAlignment="1">
      <alignment vertical="center"/>
    </xf>
    <xf numFmtId="0" fontId="73" fillId="34" borderId="0" xfId="0" applyFont="1" applyFill="1" applyAlignment="1">
      <alignment horizontal="center" vertical="center"/>
    </xf>
    <xf numFmtId="0" fontId="72" fillId="0" borderId="0" xfId="0" applyFont="1" applyAlignment="1">
      <alignment/>
    </xf>
    <xf numFmtId="179" fontId="72" fillId="0" borderId="0" xfId="42" applyNumberFormat="1" applyFont="1" applyAlignment="1">
      <alignment/>
    </xf>
    <xf numFmtId="179" fontId="72" fillId="34" borderId="0" xfId="42" applyNumberFormat="1" applyFont="1" applyFill="1" applyAlignment="1">
      <alignment horizontal="center"/>
    </xf>
    <xf numFmtId="183" fontId="3" fillId="0" borderId="10" xfId="44" applyNumberFormat="1" applyFont="1" applyBorder="1" applyAlignment="1">
      <alignment horizontal="left" vertical="center"/>
    </xf>
    <xf numFmtId="4" fontId="3" fillId="0" borderId="10" xfId="42" applyNumberFormat="1" applyFont="1" applyBorder="1" applyAlignment="1">
      <alignment vertical="center"/>
    </xf>
    <xf numFmtId="43" fontId="72" fillId="0" borderId="10" xfId="42" applyFont="1" applyBorder="1" applyAlignment="1" quotePrefix="1">
      <alignment horizontal="center" vertical="center" wrapText="1"/>
    </xf>
    <xf numFmtId="193" fontId="15" fillId="0" borderId="10" xfId="45" applyNumberFormat="1" applyFont="1" applyBorder="1" applyAlignment="1">
      <alignment horizontal="right" vertical="center"/>
    </xf>
    <xf numFmtId="185" fontId="15" fillId="0" borderId="10" xfId="45" applyNumberFormat="1" applyFont="1" applyBorder="1" applyAlignment="1">
      <alignment horizontal="center" vertical="center"/>
    </xf>
    <xf numFmtId="190" fontId="3" fillId="0" borderId="10" xfId="42" applyNumberFormat="1" applyFont="1" applyBorder="1" applyAlignment="1">
      <alignment vertical="center"/>
    </xf>
    <xf numFmtId="179" fontId="72" fillId="34" borderId="10" xfId="42" applyNumberFormat="1" applyFont="1" applyFill="1" applyBorder="1" applyAlignment="1">
      <alignment horizontal="center" vertical="center"/>
    </xf>
    <xf numFmtId="0" fontId="13" fillId="0" borderId="10" xfId="66" applyFont="1" applyBorder="1" applyAlignment="1">
      <alignment horizontal="left" vertical="center"/>
      <protection/>
    </xf>
    <xf numFmtId="0" fontId="13" fillId="0" borderId="10" xfId="66" applyFont="1" applyBorder="1" applyAlignment="1">
      <alignment horizontal="right" vertical="center"/>
      <protection/>
    </xf>
    <xf numFmtId="0" fontId="72" fillId="0" borderId="10" xfId="0" applyFont="1" applyBorder="1" applyAlignment="1">
      <alignment horizontal="center" vertical="center" wrapText="1"/>
    </xf>
    <xf numFmtId="43" fontId="72" fillId="0" borderId="10" xfId="42" applyNumberFormat="1" applyFont="1" applyBorder="1" applyAlignment="1" quotePrefix="1">
      <alignment horizontal="center" vertical="center" wrapText="1"/>
    </xf>
    <xf numFmtId="185" fontId="72" fillId="0" borderId="0" xfId="0" applyNumberFormat="1" applyFont="1" applyAlignment="1">
      <alignment horizontal="center" vertical="center"/>
    </xf>
    <xf numFmtId="181" fontId="71" fillId="0" borderId="0" xfId="42" applyNumberFormat="1" applyFont="1" applyAlignment="1">
      <alignment/>
    </xf>
    <xf numFmtId="181" fontId="71" fillId="0" borderId="0" xfId="42" applyNumberFormat="1" applyFont="1" applyAlignment="1">
      <alignment/>
    </xf>
    <xf numFmtId="181" fontId="71" fillId="0" borderId="0" xfId="42" applyNumberFormat="1" applyFont="1" applyAlignment="1">
      <alignment horizontal="center"/>
    </xf>
    <xf numFmtId="181" fontId="72" fillId="0" borderId="13" xfId="42" applyNumberFormat="1" applyFont="1" applyBorder="1" applyAlignment="1">
      <alignment horizontal="center" vertical="center" wrapText="1"/>
    </xf>
    <xf numFmtId="181" fontId="71" fillId="34" borderId="14" xfId="42" applyNumberFormat="1" applyFont="1" applyFill="1" applyBorder="1" applyAlignment="1" quotePrefix="1">
      <alignment horizontal="center" vertical="center" wrapText="1"/>
    </xf>
    <xf numFmtId="181" fontId="71" fillId="0" borderId="14" xfId="42" applyNumberFormat="1" applyFont="1" applyBorder="1" applyAlignment="1" quotePrefix="1">
      <alignment horizontal="center" vertical="center" wrapText="1"/>
    </xf>
    <xf numFmtId="181" fontId="71" fillId="34" borderId="14" xfId="42" applyNumberFormat="1" applyFont="1" applyFill="1" applyBorder="1" applyAlignment="1">
      <alignment horizontal="center" vertical="center"/>
    </xf>
    <xf numFmtId="181" fontId="72" fillId="34" borderId="14" xfId="42" applyNumberFormat="1" applyFont="1" applyFill="1" applyBorder="1" applyAlignment="1">
      <alignment horizontal="center" vertical="center"/>
    </xf>
    <xf numFmtId="181" fontId="15" fillId="34" borderId="10" xfId="42" applyNumberFormat="1" applyFont="1" applyFill="1" applyBorder="1" applyAlignment="1">
      <alignment horizontal="center" vertical="center"/>
    </xf>
    <xf numFmtId="181" fontId="72" fillId="0" borderId="0" xfId="42" applyNumberFormat="1" applyFont="1" applyAlignment="1">
      <alignment/>
    </xf>
    <xf numFmtId="0" fontId="7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vertical="center" wrapText="1"/>
    </xf>
    <xf numFmtId="43" fontId="71" fillId="0" borderId="15" xfId="42" applyFont="1" applyBorder="1" applyAlignment="1" quotePrefix="1">
      <alignment horizontal="center" vertical="center" wrapText="1"/>
    </xf>
    <xf numFmtId="183" fontId="15" fillId="35" borderId="10" xfId="44" applyNumberFormat="1" applyFont="1" applyFill="1" applyBorder="1" applyAlignment="1">
      <alignment horizontal="left" vertical="center"/>
    </xf>
    <xf numFmtId="179" fontId="71" fillId="34" borderId="10" xfId="42" applyNumberFormat="1" applyFont="1" applyFill="1" applyBorder="1" applyAlignment="1">
      <alignment horizontal="center" vertical="center"/>
    </xf>
    <xf numFmtId="179" fontId="15" fillId="35" borderId="10" xfId="44" applyNumberFormat="1" applyFont="1" applyFill="1" applyBorder="1" applyAlignment="1">
      <alignment horizontal="center" vertical="center"/>
    </xf>
    <xf numFmtId="183" fontId="71" fillId="0" borderId="10" xfId="0" applyNumberFormat="1" applyFont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180" fontId="72" fillId="0" borderId="10" xfId="42" applyNumberFormat="1" applyFont="1" applyBorder="1" applyAlignment="1" quotePrefix="1">
      <alignment horizontal="center" vertical="center" wrapText="1"/>
    </xf>
    <xf numFmtId="0" fontId="74" fillId="0" borderId="10" xfId="0" applyFont="1" applyBorder="1" applyAlignment="1" quotePrefix="1">
      <alignment horizontal="center" wrapText="1"/>
    </xf>
    <xf numFmtId="0" fontId="74" fillId="0" borderId="10" xfId="0" applyFont="1" applyBorder="1" applyAlignment="1">
      <alignment wrapText="1"/>
    </xf>
    <xf numFmtId="43" fontId="72" fillId="34" borderId="10" xfId="42" applyFont="1" applyFill="1" applyBorder="1" applyAlignment="1" quotePrefix="1">
      <alignment horizontal="center" vertical="center" wrapText="1"/>
    </xf>
    <xf numFmtId="181" fontId="72" fillId="34" borderId="10" xfId="42" applyNumberFormat="1" applyFont="1" applyFill="1" applyBorder="1" applyAlignment="1">
      <alignment horizontal="right" vertical="center"/>
    </xf>
    <xf numFmtId="179" fontId="75" fillId="34" borderId="10" xfId="42" applyNumberFormat="1" applyFont="1" applyFill="1" applyBorder="1" applyAlignment="1">
      <alignment horizontal="center" vertical="center"/>
    </xf>
    <xf numFmtId="43" fontId="72" fillId="34" borderId="10" xfId="42" applyFont="1" applyFill="1" applyBorder="1" applyAlignment="1">
      <alignment horizontal="right" vertical="center"/>
    </xf>
    <xf numFmtId="43" fontId="72" fillId="34" borderId="10" xfId="0" applyNumberFormat="1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vertical="center"/>
    </xf>
    <xf numFmtId="183" fontId="71" fillId="0" borderId="0" xfId="0" applyNumberFormat="1" applyFont="1" applyBorder="1" applyAlignment="1">
      <alignment horizontal="center" vertical="center"/>
    </xf>
    <xf numFmtId="183" fontId="71" fillId="34" borderId="14" xfId="42" applyNumberFormat="1" applyFont="1" applyFill="1" applyBorder="1" applyAlignment="1">
      <alignment horizontal="center" vertical="center"/>
    </xf>
    <xf numFmtId="196" fontId="72" fillId="34" borderId="14" xfId="42" applyNumberFormat="1" applyFont="1" applyFill="1" applyBorder="1" applyAlignment="1">
      <alignment horizontal="center" vertical="center"/>
    </xf>
    <xf numFmtId="183" fontId="14" fillId="34" borderId="14" xfId="46" applyNumberFormat="1" applyFont="1" applyFill="1" applyBorder="1" applyAlignment="1">
      <alignment vertical="center"/>
    </xf>
    <xf numFmtId="0" fontId="72" fillId="34" borderId="14" xfId="0" applyFont="1" applyFill="1" applyBorder="1" applyAlignment="1">
      <alignment horizontal="left" vertical="center"/>
    </xf>
    <xf numFmtId="183" fontId="15" fillId="34" borderId="14" xfId="46" applyNumberFormat="1" applyFont="1" applyFill="1" applyBorder="1" applyAlignment="1">
      <alignment horizontal="left" vertical="center"/>
    </xf>
    <xf numFmtId="0" fontId="76" fillId="0" borderId="14" xfId="0" applyFont="1" applyBorder="1" applyAlignment="1">
      <alignment vertical="center" wrapText="1"/>
    </xf>
    <xf numFmtId="183" fontId="15" fillId="0" borderId="10" xfId="44" applyNumberFormat="1" applyFont="1" applyBorder="1" applyAlignment="1">
      <alignment horizontal="left" vertical="center"/>
    </xf>
    <xf numFmtId="4" fontId="15" fillId="0" borderId="10" xfId="42" applyNumberFormat="1" applyFont="1" applyBorder="1" applyAlignment="1">
      <alignment horizontal="right" vertical="center"/>
    </xf>
    <xf numFmtId="191" fontId="15" fillId="0" borderId="10" xfId="44" applyNumberFormat="1" applyFont="1" applyBorder="1" applyAlignment="1">
      <alignment horizontal="right" vertical="center"/>
    </xf>
    <xf numFmtId="190" fontId="15" fillId="0" borderId="10" xfId="44" applyNumberFormat="1" applyFont="1" applyBorder="1" applyAlignment="1">
      <alignment horizontal="right" vertical="center"/>
    </xf>
    <xf numFmtId="183" fontId="15" fillId="34" borderId="10" xfId="42" applyNumberFormat="1" applyFont="1" applyFill="1" applyBorder="1" applyAlignment="1">
      <alignment horizontal="center" vertical="center"/>
    </xf>
    <xf numFmtId="43" fontId="71" fillId="34" borderId="0" xfId="42" applyFont="1" applyFill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183" fontId="15" fillId="35" borderId="15" xfId="44" applyNumberFormat="1" applyFont="1" applyFill="1" applyBorder="1" applyAlignment="1">
      <alignment horizontal="left" vertical="center"/>
    </xf>
    <xf numFmtId="179" fontId="71" fillId="34" borderId="15" xfId="42" applyNumberFormat="1" applyFont="1" applyFill="1" applyBorder="1" applyAlignment="1">
      <alignment horizontal="center" vertical="center"/>
    </xf>
    <xf numFmtId="179" fontId="15" fillId="35" borderId="15" xfId="44" applyNumberFormat="1" applyFont="1" applyFill="1" applyBorder="1" applyAlignment="1">
      <alignment horizontal="center" vertical="center"/>
    </xf>
    <xf numFmtId="193" fontId="15" fillId="0" borderId="15" xfId="45" applyNumberFormat="1" applyFont="1" applyBorder="1" applyAlignment="1">
      <alignment horizontal="right" vertical="center"/>
    </xf>
    <xf numFmtId="179" fontId="72" fillId="34" borderId="15" xfId="42" applyNumberFormat="1" applyFont="1" applyFill="1" applyBorder="1" applyAlignment="1">
      <alignment horizontal="center" vertical="center"/>
    </xf>
    <xf numFmtId="183" fontId="72" fillId="0" borderId="0" xfId="0" applyNumberFormat="1" applyFont="1" applyAlignment="1">
      <alignment horizontal="center" vertical="center"/>
    </xf>
    <xf numFmtId="194" fontId="71" fillId="34" borderId="14" xfId="42" applyNumberFormat="1" applyFont="1" applyFill="1" applyBorder="1" applyAlignment="1">
      <alignment horizontal="center" vertical="center"/>
    </xf>
    <xf numFmtId="199" fontId="71" fillId="34" borderId="0" xfId="0" applyNumberFormat="1" applyFont="1" applyFill="1" applyAlignment="1">
      <alignment horizontal="center" vertical="center"/>
    </xf>
    <xf numFmtId="0" fontId="14" fillId="34" borderId="14" xfId="0" applyFont="1" applyFill="1" applyBorder="1" applyAlignment="1">
      <alignment wrapText="1"/>
    </xf>
    <xf numFmtId="196" fontId="71" fillId="34" borderId="14" xfId="42" applyNumberFormat="1" applyFont="1" applyFill="1" applyBorder="1" applyAlignment="1">
      <alignment horizontal="center" vertical="center"/>
    </xf>
    <xf numFmtId="43" fontId="72" fillId="34" borderId="0" xfId="42" applyFont="1" applyFill="1" applyAlignment="1">
      <alignment horizontal="center" vertical="center"/>
    </xf>
    <xf numFmtId="43" fontId="72" fillId="34" borderId="14" xfId="42" applyFont="1" applyFill="1" applyBorder="1" applyAlignment="1">
      <alignment horizontal="left" vertical="center"/>
    </xf>
    <xf numFmtId="43" fontId="72" fillId="34" borderId="14" xfId="42" applyFont="1" applyFill="1" applyBorder="1" applyAlignment="1">
      <alignment horizontal="center" vertical="center"/>
    </xf>
    <xf numFmtId="196" fontId="72" fillId="34" borderId="0" xfId="0" applyNumberFormat="1" applyFont="1" applyFill="1" applyAlignment="1">
      <alignment horizontal="center" vertical="center"/>
    </xf>
    <xf numFmtId="43" fontId="71" fillId="34" borderId="14" xfId="42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vertical="center" wrapText="1"/>
    </xf>
    <xf numFmtId="179" fontId="77" fillId="34" borderId="14" xfId="42" applyNumberFormat="1" applyFont="1" applyFill="1" applyBorder="1" applyAlignment="1">
      <alignment horizontal="center" vertical="center"/>
    </xf>
    <xf numFmtId="183" fontId="5" fillId="0" borderId="0" xfId="47" applyNumberFormat="1" applyFont="1" applyFill="1" applyBorder="1" applyAlignment="1">
      <alignment horizontal="center" vertical="center"/>
    </xf>
    <xf numFmtId="183" fontId="72" fillId="0" borderId="0" xfId="0" applyNumberFormat="1" applyFont="1" applyAlignment="1">
      <alignment horizontal="center" vertical="center"/>
    </xf>
    <xf numFmtId="183" fontId="72" fillId="0" borderId="0" xfId="0" applyNumberFormat="1" applyFont="1" applyAlignment="1">
      <alignment horizontal="center" vertical="center"/>
    </xf>
    <xf numFmtId="0" fontId="78" fillId="34" borderId="0" xfId="0" applyFont="1" applyFill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179" fontId="14" fillId="34" borderId="14" xfId="42" applyNumberFormat="1" applyFont="1" applyFill="1" applyBorder="1" applyAlignment="1">
      <alignment horizontal="center" vertical="center"/>
    </xf>
    <xf numFmtId="183" fontId="14" fillId="34" borderId="14" xfId="42" applyNumberFormat="1" applyFont="1" applyFill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/>
      <protection/>
    </xf>
    <xf numFmtId="183" fontId="15" fillId="0" borderId="10" xfId="45" applyNumberFormat="1" applyFont="1" applyFill="1" applyBorder="1" applyAlignment="1">
      <alignment horizontal="left" vertical="center"/>
    </xf>
    <xf numFmtId="179" fontId="15" fillId="0" borderId="10" xfId="47" applyNumberFormat="1" applyFont="1" applyFill="1" applyBorder="1" applyAlignment="1">
      <alignment horizontal="center" vertical="center"/>
    </xf>
    <xf numFmtId="185" fontId="15" fillId="0" borderId="10" xfId="47" applyNumberFormat="1" applyFont="1" applyFill="1" applyBorder="1" applyAlignment="1">
      <alignment horizontal="center" vertical="center"/>
    </xf>
    <xf numFmtId="179" fontId="15" fillId="0" borderId="10" xfId="47" applyNumberFormat="1" applyFont="1" applyFill="1" applyBorder="1" applyAlignment="1">
      <alignment horizontal="right" vertical="center"/>
    </xf>
    <xf numFmtId="181" fontId="15" fillId="0" borderId="10" xfId="42" applyNumberFormat="1" applyFont="1" applyFill="1" applyBorder="1" applyAlignment="1">
      <alignment horizontal="center" vertical="center"/>
    </xf>
    <xf numFmtId="183" fontId="15" fillId="0" borderId="15" xfId="45" applyNumberFormat="1" applyFont="1" applyFill="1" applyBorder="1" applyAlignment="1">
      <alignment horizontal="left" vertical="center"/>
    </xf>
    <xf numFmtId="179" fontId="15" fillId="0" borderId="15" xfId="47" applyNumberFormat="1" applyFont="1" applyFill="1" applyBorder="1" applyAlignment="1">
      <alignment horizontal="center" vertical="center"/>
    </xf>
    <xf numFmtId="185" fontId="15" fillId="0" borderId="15" xfId="47" applyNumberFormat="1" applyFont="1" applyFill="1" applyBorder="1" applyAlignment="1">
      <alignment horizontal="center" vertical="center"/>
    </xf>
    <xf numFmtId="179" fontId="15" fillId="0" borderId="15" xfId="47" applyNumberFormat="1" applyFont="1" applyFill="1" applyBorder="1" applyAlignment="1">
      <alignment horizontal="right" vertical="center"/>
    </xf>
    <xf numFmtId="0" fontId="14" fillId="0" borderId="10" xfId="61" applyFont="1" applyFill="1" applyBorder="1" applyAlignment="1">
      <alignment horizontal="center" vertical="center"/>
      <protection/>
    </xf>
    <xf numFmtId="43" fontId="14" fillId="34" borderId="14" xfId="42" applyNumberFormat="1" applyFont="1" applyFill="1" applyBorder="1" applyAlignment="1">
      <alignment horizontal="center" vertical="center"/>
    </xf>
    <xf numFmtId="0" fontId="14" fillId="0" borderId="15" xfId="61" applyFont="1" applyFill="1" applyBorder="1" applyAlignment="1">
      <alignment horizontal="center" vertical="center"/>
      <protection/>
    </xf>
    <xf numFmtId="0" fontId="17" fillId="34" borderId="14" xfId="0" applyFont="1" applyFill="1" applyBorder="1" applyAlignment="1">
      <alignment vertical="center"/>
    </xf>
    <xf numFmtId="4" fontId="17" fillId="34" borderId="14" xfId="42" applyNumberFormat="1" applyFont="1" applyFill="1" applyBorder="1" applyAlignment="1">
      <alignment horizontal="center" vertical="center"/>
    </xf>
    <xf numFmtId="43" fontId="15" fillId="34" borderId="14" xfId="42" applyNumberFormat="1" applyFont="1" applyFill="1" applyBorder="1" applyAlignment="1">
      <alignment horizontal="center" vertical="center"/>
    </xf>
    <xf numFmtId="3" fontId="17" fillId="34" borderId="14" xfId="42" applyNumberFormat="1" applyFont="1" applyFill="1" applyBorder="1" applyAlignment="1">
      <alignment horizontal="right" vertical="center"/>
    </xf>
    <xf numFmtId="0" fontId="17" fillId="34" borderId="14" xfId="0" applyFont="1" applyFill="1" applyBorder="1" applyAlignment="1">
      <alignment horizontal="center" vertical="center"/>
    </xf>
    <xf numFmtId="3" fontId="17" fillId="34" borderId="14" xfId="42" applyNumberFormat="1" applyFont="1" applyFill="1" applyBorder="1" applyAlignment="1">
      <alignment horizontal="center" vertical="center"/>
    </xf>
    <xf numFmtId="179" fontId="17" fillId="34" borderId="14" xfId="42" applyNumberFormat="1" applyFont="1" applyFill="1" applyBorder="1" applyAlignment="1">
      <alignment horizontal="center" vertical="center"/>
    </xf>
    <xf numFmtId="179" fontId="17" fillId="34" borderId="14" xfId="42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left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left" vertical="center"/>
    </xf>
    <xf numFmtId="3" fontId="17" fillId="34" borderId="16" xfId="42" applyNumberFormat="1" applyFont="1" applyFill="1" applyBorder="1" applyAlignment="1">
      <alignment horizontal="center" vertical="center"/>
    </xf>
    <xf numFmtId="4" fontId="17" fillId="34" borderId="16" xfId="42" applyNumberFormat="1" applyFont="1" applyFill="1" applyBorder="1" applyAlignment="1">
      <alignment horizontal="center" vertical="center"/>
    </xf>
    <xf numFmtId="3" fontId="17" fillId="34" borderId="16" xfId="42" applyNumberFormat="1" applyFont="1" applyFill="1" applyBorder="1" applyAlignment="1">
      <alignment horizontal="right" vertical="center"/>
    </xf>
    <xf numFmtId="179" fontId="17" fillId="34" borderId="16" xfId="42" applyNumberFormat="1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left" vertical="center"/>
    </xf>
    <xf numFmtId="3" fontId="17" fillId="34" borderId="17" xfId="42" applyNumberFormat="1" applyFont="1" applyFill="1" applyBorder="1" applyAlignment="1">
      <alignment horizontal="center" vertical="center"/>
    </xf>
    <xf numFmtId="4" fontId="17" fillId="34" borderId="17" xfId="42" applyNumberFormat="1" applyFont="1" applyFill="1" applyBorder="1" applyAlignment="1">
      <alignment horizontal="center" vertical="center"/>
    </xf>
    <xf numFmtId="179" fontId="17" fillId="34" borderId="17" xfId="42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left" vertical="center"/>
    </xf>
    <xf numFmtId="196" fontId="15" fillId="34" borderId="14" xfId="42" applyNumberFormat="1" applyFont="1" applyFill="1" applyBorder="1" applyAlignment="1">
      <alignment horizontal="center" vertical="center"/>
    </xf>
    <xf numFmtId="185" fontId="15" fillId="34" borderId="14" xfId="42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196" fontId="15" fillId="34" borderId="14" xfId="42" applyNumberFormat="1" applyFont="1" applyFill="1" applyBorder="1" applyAlignment="1">
      <alignment horizontal="right" vertical="center"/>
    </xf>
    <xf numFmtId="0" fontId="15" fillId="34" borderId="14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179" fontId="14" fillId="34" borderId="10" xfId="42" applyNumberFormat="1" applyFont="1" applyFill="1" applyBorder="1" applyAlignment="1">
      <alignment horizontal="center" vertical="center"/>
    </xf>
    <xf numFmtId="179" fontId="15" fillId="34" borderId="10" xfId="42" applyNumberFormat="1" applyFont="1" applyFill="1" applyBorder="1" applyAlignment="1">
      <alignment horizontal="center" vertical="center"/>
    </xf>
    <xf numFmtId="43" fontId="14" fillId="34" borderId="10" xfId="42" applyFont="1" applyFill="1" applyBorder="1" applyAlignment="1">
      <alignment horizontal="center" vertical="center"/>
    </xf>
    <xf numFmtId="0" fontId="18" fillId="0" borderId="10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vertical="center" wrapText="1"/>
      <protection/>
    </xf>
    <xf numFmtId="179" fontId="14" fillId="0" borderId="10" xfId="47" applyNumberFormat="1" applyFont="1" applyFill="1" applyBorder="1" applyAlignment="1">
      <alignment horizontal="center" vertical="center"/>
    </xf>
    <xf numFmtId="179" fontId="72" fillId="34" borderId="0" xfId="0" applyNumberFormat="1" applyFont="1" applyFill="1" applyAlignment="1">
      <alignment horizontal="center" vertical="center"/>
    </xf>
    <xf numFmtId="43" fontId="71" fillId="0" borderId="10" xfId="42" applyFont="1" applyBorder="1" applyAlignment="1" quotePrefix="1">
      <alignment horizontal="center" vertical="center" wrapText="1"/>
    </xf>
    <xf numFmtId="181" fontId="71" fillId="0" borderId="10" xfId="42" applyNumberFormat="1" applyFont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/>
    </xf>
    <xf numFmtId="179" fontId="15" fillId="0" borderId="10" xfId="42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179" fontId="15" fillId="34" borderId="10" xfId="42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0" fontId="72" fillId="0" borderId="10" xfId="0" applyFont="1" applyFill="1" applyBorder="1" applyAlignment="1">
      <alignment/>
    </xf>
    <xf numFmtId="179" fontId="72" fillId="0" borderId="10" xfId="42" applyNumberFormat="1" applyFont="1" applyFill="1" applyBorder="1" applyAlignment="1">
      <alignment/>
    </xf>
    <xf numFmtId="0" fontId="79" fillId="0" borderId="10" xfId="0" applyFont="1" applyBorder="1" applyAlignment="1">
      <alignment wrapText="1"/>
    </xf>
    <xf numFmtId="43" fontId="71" fillId="34" borderId="10" xfId="42" applyFont="1" applyFill="1" applyBorder="1" applyAlignment="1" quotePrefix="1">
      <alignment horizontal="center" vertical="center" wrapText="1"/>
    </xf>
    <xf numFmtId="43" fontId="71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 wrapText="1"/>
    </xf>
    <xf numFmtId="179" fontId="72" fillId="34" borderId="10" xfId="42" applyNumberFormat="1" applyFont="1" applyFill="1" applyBorder="1" applyAlignment="1">
      <alignment horizontal="center"/>
    </xf>
    <xf numFmtId="43" fontId="72" fillId="34" borderId="10" xfId="42" applyFont="1" applyFill="1" applyBorder="1" applyAlignment="1" quotePrefix="1">
      <alignment horizontal="center" wrapText="1"/>
    </xf>
    <xf numFmtId="179" fontId="19" fillId="34" borderId="10" xfId="42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181" fontId="72" fillId="34" borderId="10" xfId="42" applyNumberFormat="1" applyFont="1" applyFill="1" applyBorder="1" applyAlignment="1">
      <alignment horizontal="right"/>
    </xf>
    <xf numFmtId="183" fontId="72" fillId="0" borderId="0" xfId="0" applyNumberFormat="1" applyFont="1" applyAlignment="1">
      <alignment horizontal="center"/>
    </xf>
    <xf numFmtId="179" fontId="75" fillId="34" borderId="10" xfId="42" applyNumberFormat="1" applyFont="1" applyFill="1" applyBorder="1" applyAlignment="1">
      <alignment horizontal="center"/>
    </xf>
    <xf numFmtId="43" fontId="72" fillId="34" borderId="10" xfId="42" applyFont="1" applyFill="1" applyBorder="1" applyAlignment="1">
      <alignment horizontal="right"/>
    </xf>
    <xf numFmtId="43" fontId="72" fillId="34" borderId="10" xfId="0" applyNumberFormat="1" applyFont="1" applyFill="1" applyBorder="1" applyAlignment="1">
      <alignment horizontal="center"/>
    </xf>
    <xf numFmtId="179" fontId="14" fillId="0" borderId="10" xfId="42" applyNumberFormat="1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0" fillId="0" borderId="10" xfId="0" applyFont="1" applyFill="1" applyBorder="1" applyAlignment="1">
      <alignment/>
    </xf>
    <xf numFmtId="0" fontId="80" fillId="0" borderId="10" xfId="0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vertical="center"/>
    </xf>
    <xf numFmtId="43" fontId="72" fillId="34" borderId="10" xfId="0" applyNumberFormat="1" applyFont="1" applyFill="1" applyBorder="1" applyAlignment="1">
      <alignment horizontal="center" vertical="center" wrapText="1"/>
    </xf>
    <xf numFmtId="183" fontId="72" fillId="0" borderId="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 vertical="center" wrapText="1"/>
    </xf>
    <xf numFmtId="183" fontId="14" fillId="0" borderId="10" xfId="47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/>
    </xf>
    <xf numFmtId="179" fontId="72" fillId="0" borderId="10" xfId="42" applyNumberFormat="1" applyFont="1" applyBorder="1" applyAlignment="1">
      <alignment/>
    </xf>
    <xf numFmtId="181" fontId="72" fillId="0" borderId="10" xfId="42" applyNumberFormat="1" applyFont="1" applyBorder="1" applyAlignment="1">
      <alignment/>
    </xf>
    <xf numFmtId="0" fontId="72" fillId="0" borderId="10" xfId="0" applyFont="1" applyBorder="1" applyAlignment="1">
      <alignment horizontal="center"/>
    </xf>
    <xf numFmtId="0" fontId="20" fillId="34" borderId="14" xfId="0" applyFont="1" applyFill="1" applyBorder="1" applyAlignment="1">
      <alignment vertical="center"/>
    </xf>
    <xf numFmtId="0" fontId="79" fillId="0" borderId="10" xfId="0" applyFont="1" applyBorder="1" applyAlignment="1">
      <alignment horizontal="center" wrapText="1"/>
    </xf>
    <xf numFmtId="179" fontId="5" fillId="7" borderId="10" xfId="47" applyNumberFormat="1" applyFont="1" applyFill="1" applyBorder="1" applyAlignment="1">
      <alignment horizontal="center" vertical="center"/>
    </xf>
    <xf numFmtId="179" fontId="5" fillId="7" borderId="10" xfId="47" applyNumberFormat="1" applyFont="1" applyFill="1" applyBorder="1" applyAlignment="1">
      <alignment horizontal="right" vertical="center"/>
    </xf>
    <xf numFmtId="183" fontId="5" fillId="7" borderId="10" xfId="47" applyNumberFormat="1" applyFont="1" applyFill="1" applyBorder="1" applyAlignment="1">
      <alignment horizontal="center" vertical="center"/>
    </xf>
    <xf numFmtId="179" fontId="8" fillId="7" borderId="0" xfId="47" applyNumberFormat="1" applyFont="1" applyFill="1" applyAlignment="1">
      <alignment/>
    </xf>
    <xf numFmtId="179" fontId="8" fillId="7" borderId="0" xfId="47" applyNumberFormat="1" applyFont="1" applyFill="1" applyAlignment="1">
      <alignment horizontal="center"/>
    </xf>
    <xf numFmtId="179" fontId="8" fillId="7" borderId="0" xfId="47" applyNumberFormat="1" applyFont="1" applyFill="1" applyAlignment="1">
      <alignment horizontal="right"/>
    </xf>
    <xf numFmtId="183" fontId="8" fillId="7" borderId="0" xfId="47" applyNumberFormat="1" applyFont="1" applyFill="1" applyAlignment="1">
      <alignment/>
    </xf>
    <xf numFmtId="179" fontId="8" fillId="7" borderId="0" xfId="47" applyNumberFormat="1" applyFont="1" applyFill="1" applyAlignment="1">
      <alignment/>
    </xf>
    <xf numFmtId="183" fontId="8" fillId="7" borderId="0" xfId="47" applyNumberFormat="1" applyFont="1" applyFill="1" applyAlignment="1">
      <alignment/>
    </xf>
    <xf numFmtId="183" fontId="8" fillId="7" borderId="0" xfId="47" applyNumberFormat="1" applyFont="1" applyFill="1" applyAlignment="1">
      <alignment horizontal="center"/>
    </xf>
    <xf numFmtId="185" fontId="5" fillId="7" borderId="10" xfId="47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179" fontId="22" fillId="7" borderId="10" xfId="47" applyNumberFormat="1" applyFont="1" applyFill="1" applyBorder="1" applyAlignment="1">
      <alignment horizontal="center" vertical="center" wrapText="1"/>
    </xf>
    <xf numFmtId="179" fontId="22" fillId="7" borderId="10" xfId="47" applyNumberFormat="1" applyFont="1" applyFill="1" applyBorder="1" applyAlignment="1">
      <alignment horizontal="right" vertical="center" wrapText="1"/>
    </xf>
    <xf numFmtId="179" fontId="81" fillId="0" borderId="10" xfId="42" applyNumberFormat="1" applyFont="1" applyBorder="1" applyAlignment="1">
      <alignment horizontal="center" vertical="center" wrapText="1"/>
    </xf>
    <xf numFmtId="179" fontId="81" fillId="0" borderId="12" xfId="42" applyNumberFormat="1" applyFont="1" applyBorder="1" applyAlignment="1">
      <alignment horizontal="center" vertical="center" wrapText="1"/>
    </xf>
    <xf numFmtId="183" fontId="13" fillId="0" borderId="10" xfId="61" applyNumberFormat="1" applyFont="1" applyFill="1" applyBorder="1" applyAlignment="1">
      <alignment horizontal="center" vertical="center"/>
      <protection/>
    </xf>
    <xf numFmtId="183" fontId="13" fillId="0" borderId="10" xfId="61" applyNumberFormat="1" applyFont="1" applyFill="1" applyBorder="1" applyAlignment="1" quotePrefix="1">
      <alignment horizontal="center" vertical="center"/>
      <protection/>
    </xf>
    <xf numFmtId="183" fontId="13" fillId="7" borderId="10" xfId="47" applyNumberFormat="1" applyFont="1" applyFill="1" applyBorder="1" applyAlignment="1" quotePrefix="1">
      <alignment horizontal="center" vertical="center" wrapText="1"/>
    </xf>
    <xf numFmtId="183" fontId="13" fillId="7" borderId="10" xfId="47" applyNumberFormat="1" applyFont="1" applyFill="1" applyBorder="1" applyAlignment="1" quotePrefix="1">
      <alignment horizontal="right" vertical="center" wrapText="1"/>
    </xf>
    <xf numFmtId="179" fontId="13" fillId="7" borderId="10" xfId="47" applyNumberFormat="1" applyFont="1" applyFill="1" applyBorder="1" applyAlignment="1" quotePrefix="1">
      <alignment horizontal="right" vertical="center" wrapText="1"/>
    </xf>
    <xf numFmtId="183" fontId="13" fillId="7" borderId="10" xfId="47" applyNumberFormat="1" applyFont="1" applyFill="1" applyBorder="1" applyAlignment="1">
      <alignment horizontal="center" vertical="center" wrapText="1"/>
    </xf>
    <xf numFmtId="183" fontId="82" fillId="0" borderId="13" xfId="42" applyNumberFormat="1" applyFont="1" applyBorder="1" applyAlignment="1" quotePrefix="1">
      <alignment horizontal="center" vertical="center" wrapText="1"/>
    </xf>
    <xf numFmtId="183" fontId="82" fillId="34" borderId="13" xfId="42" applyNumberFormat="1" applyFont="1" applyFill="1" applyBorder="1" applyAlignment="1" quotePrefix="1">
      <alignment horizontal="center" vertical="center" wrapText="1"/>
    </xf>
    <xf numFmtId="183" fontId="22" fillId="0" borderId="10" xfId="61" applyNumberFormat="1" applyFont="1" applyFill="1" applyBorder="1" applyAlignment="1">
      <alignment horizontal="center" vertical="center"/>
      <protection/>
    </xf>
    <xf numFmtId="43" fontId="22" fillId="7" borderId="10" xfId="47" applyNumberFormat="1" applyFont="1" applyFill="1" applyBorder="1" applyAlignment="1" quotePrefix="1">
      <alignment horizontal="center" vertical="center" wrapText="1"/>
    </xf>
    <xf numFmtId="181" fontId="22" fillId="7" borderId="10" xfId="47" applyNumberFormat="1" applyFont="1" applyFill="1" applyBorder="1" applyAlignment="1" quotePrefix="1">
      <alignment horizontal="center" vertical="center" wrapText="1"/>
    </xf>
    <xf numFmtId="43" fontId="81" fillId="34" borderId="14" xfId="42" applyFont="1" applyFill="1" applyBorder="1" applyAlignment="1" quotePrefix="1">
      <alignment horizontal="center" vertical="center" wrapText="1"/>
    </xf>
    <xf numFmtId="0" fontId="22" fillId="0" borderId="10" xfId="61" applyFont="1" applyFill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vertical="center" wrapText="1"/>
      <protection/>
    </xf>
    <xf numFmtId="0" fontId="22" fillId="33" borderId="10" xfId="61" applyFont="1" applyFill="1" applyBorder="1" applyAlignment="1">
      <alignment horizontal="center" vertical="center"/>
      <protection/>
    </xf>
    <xf numFmtId="0" fontId="22" fillId="33" borderId="10" xfId="61" applyFont="1" applyFill="1" applyBorder="1" applyAlignment="1">
      <alignment vertical="center" wrapText="1"/>
      <protection/>
    </xf>
    <xf numFmtId="179" fontId="22" fillId="7" borderId="10" xfId="47" applyNumberFormat="1" applyFont="1" applyFill="1" applyBorder="1" applyAlignment="1">
      <alignment horizontal="center" vertical="center"/>
    </xf>
    <xf numFmtId="183" fontId="22" fillId="7" borderId="10" xfId="47" applyNumberFormat="1" applyFont="1" applyFill="1" applyBorder="1" applyAlignment="1">
      <alignment horizontal="center" vertical="center"/>
    </xf>
    <xf numFmtId="43" fontId="81" fillId="0" borderId="14" xfId="42" applyFont="1" applyBorder="1" applyAlignment="1" quotePrefix="1">
      <alignment horizontal="center" vertical="center" wrapText="1"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/>
      <protection/>
    </xf>
    <xf numFmtId="179" fontId="13" fillId="7" borderId="10" xfId="47" applyNumberFormat="1" applyFont="1" applyFill="1" applyBorder="1" applyAlignment="1">
      <alignment horizontal="center" vertical="center"/>
    </xf>
    <xf numFmtId="179" fontId="13" fillId="7" borderId="10" xfId="47" applyNumberFormat="1" applyFont="1" applyFill="1" applyBorder="1" applyAlignment="1">
      <alignment horizontal="right" vertical="center"/>
    </xf>
    <xf numFmtId="179" fontId="22" fillId="7" borderId="10" xfId="47" applyNumberFormat="1" applyFont="1" applyFill="1" applyBorder="1" applyAlignment="1">
      <alignment horizontal="right" vertical="center"/>
    </xf>
    <xf numFmtId="183" fontId="13" fillId="7" borderId="10" xfId="47" applyNumberFormat="1" applyFont="1" applyFill="1" applyBorder="1" applyAlignment="1">
      <alignment horizontal="center" vertical="center"/>
    </xf>
    <xf numFmtId="43" fontId="81" fillId="0" borderId="15" xfId="42" applyFont="1" applyBorder="1" applyAlignment="1" quotePrefix="1">
      <alignment horizontal="center" vertical="center" wrapText="1"/>
    </xf>
    <xf numFmtId="43" fontId="82" fillId="0" borderId="10" xfId="42" applyFont="1" applyBorder="1" applyAlignment="1" quotePrefix="1">
      <alignment horizontal="center" vertical="center" wrapText="1"/>
    </xf>
    <xf numFmtId="43" fontId="82" fillId="0" borderId="10" xfId="42" applyNumberFormat="1" applyFont="1" applyBorder="1" applyAlignment="1" quotePrefix="1">
      <alignment horizontal="center" vertical="center" wrapText="1"/>
    </xf>
    <xf numFmtId="193" fontId="3" fillId="0" borderId="10" xfId="45" applyNumberFormat="1" applyFont="1" applyBorder="1" applyAlignment="1">
      <alignment horizontal="right" vertical="center"/>
    </xf>
    <xf numFmtId="185" fontId="3" fillId="0" borderId="10" xfId="45" applyNumberFormat="1" applyFont="1" applyBorder="1" applyAlignment="1">
      <alignment horizontal="center" vertical="center"/>
    </xf>
    <xf numFmtId="179" fontId="82" fillId="34" borderId="10" xfId="42" applyNumberFormat="1" applyFont="1" applyFill="1" applyBorder="1" applyAlignment="1">
      <alignment horizontal="center" vertical="center"/>
    </xf>
    <xf numFmtId="181" fontId="3" fillId="34" borderId="10" xfId="42" applyNumberFormat="1" applyFont="1" applyFill="1" applyBorder="1" applyAlignment="1">
      <alignment horizontal="center" vertical="center"/>
    </xf>
    <xf numFmtId="0" fontId="22" fillId="33" borderId="10" xfId="61" applyFont="1" applyFill="1" applyBorder="1" applyAlignment="1">
      <alignment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vertical="center"/>
      <protection/>
    </xf>
    <xf numFmtId="181" fontId="22" fillId="7" borderId="10" xfId="47" applyNumberFormat="1" applyFont="1" applyFill="1" applyBorder="1" applyAlignment="1">
      <alignment horizontal="center" vertical="center"/>
    </xf>
    <xf numFmtId="185" fontId="13" fillId="7" borderId="10" xfId="47" applyNumberFormat="1" applyFont="1" applyFill="1" applyBorder="1" applyAlignment="1">
      <alignment horizontal="center" vertical="center"/>
    </xf>
    <xf numFmtId="179" fontId="81" fillId="34" borderId="14" xfId="42" applyNumberFormat="1" applyFont="1" applyFill="1" applyBorder="1" applyAlignment="1">
      <alignment horizontal="center" vertical="center"/>
    </xf>
    <xf numFmtId="43" fontId="81" fillId="34" borderId="14" xfId="42" applyFont="1" applyFill="1" applyBorder="1" applyAlignment="1">
      <alignment horizontal="center" vertical="center"/>
    </xf>
    <xf numFmtId="179" fontId="81" fillId="34" borderId="10" xfId="42" applyNumberFormat="1" applyFont="1" applyFill="1" applyBorder="1" applyAlignment="1">
      <alignment horizontal="center" vertical="center"/>
    </xf>
    <xf numFmtId="180" fontId="82" fillId="0" borderId="10" xfId="42" applyNumberFormat="1" applyFont="1" applyBorder="1" applyAlignment="1" quotePrefix="1">
      <alignment horizontal="center" vertical="center" wrapText="1"/>
    </xf>
    <xf numFmtId="179" fontId="3" fillId="35" borderId="10" xfId="44" applyNumberFormat="1" applyFont="1" applyFill="1" applyBorder="1" applyAlignment="1">
      <alignment horizontal="center" vertical="center"/>
    </xf>
    <xf numFmtId="183" fontId="22" fillId="7" borderId="10" xfId="47" applyNumberFormat="1" applyFont="1" applyFill="1" applyBorder="1" applyAlignment="1" quotePrefix="1">
      <alignment horizontal="center" vertical="center" wrapText="1"/>
    </xf>
    <xf numFmtId="183" fontId="22" fillId="7" borderId="10" xfId="47" applyNumberFormat="1" applyFont="1" applyFill="1" applyBorder="1" applyAlignment="1" quotePrefix="1">
      <alignment horizontal="right" vertical="center" wrapText="1"/>
    </xf>
    <xf numFmtId="179" fontId="22" fillId="7" borderId="10" xfId="47" applyNumberFormat="1" applyFont="1" applyFill="1" applyBorder="1" applyAlignment="1" quotePrefix="1">
      <alignment horizontal="right" vertical="center" wrapText="1"/>
    </xf>
    <xf numFmtId="179" fontId="81" fillId="34" borderId="15" xfId="42" applyNumberFormat="1" applyFont="1" applyFill="1" applyBorder="1" applyAlignment="1">
      <alignment horizontal="center" vertical="center"/>
    </xf>
    <xf numFmtId="179" fontId="3" fillId="35" borderId="15" xfId="44" applyNumberFormat="1" applyFont="1" applyFill="1" applyBorder="1" applyAlignment="1">
      <alignment horizontal="center" vertical="center"/>
    </xf>
    <xf numFmtId="193" fontId="3" fillId="0" borderId="15" xfId="45" applyNumberFormat="1" applyFont="1" applyBorder="1" applyAlignment="1">
      <alignment horizontal="right" vertical="center"/>
    </xf>
    <xf numFmtId="179" fontId="82" fillId="34" borderId="15" xfId="42" applyNumberFormat="1" applyFont="1" applyFill="1" applyBorder="1" applyAlignment="1">
      <alignment horizontal="center" vertical="center"/>
    </xf>
    <xf numFmtId="43" fontId="82" fillId="34" borderId="10" xfId="42" applyFont="1" applyFill="1" applyBorder="1" applyAlignment="1" quotePrefix="1">
      <alignment horizontal="center" vertical="center" wrapText="1"/>
    </xf>
    <xf numFmtId="181" fontId="82" fillId="34" borderId="10" xfId="42" applyNumberFormat="1" applyFont="1" applyFill="1" applyBorder="1" applyAlignment="1">
      <alignment horizontal="right" vertical="center"/>
    </xf>
    <xf numFmtId="179" fontId="83" fillId="34" borderId="10" xfId="42" applyNumberFormat="1" applyFont="1" applyFill="1" applyBorder="1" applyAlignment="1">
      <alignment horizontal="center" vertical="center"/>
    </xf>
    <xf numFmtId="43" fontId="82" fillId="34" borderId="10" xfId="42" applyFont="1" applyFill="1" applyBorder="1" applyAlignment="1">
      <alignment horizontal="right" vertical="center"/>
    </xf>
    <xf numFmtId="194" fontId="81" fillId="34" borderId="14" xfId="42" applyNumberFormat="1" applyFont="1" applyFill="1" applyBorder="1" applyAlignment="1">
      <alignment horizontal="center" vertical="center"/>
    </xf>
    <xf numFmtId="179" fontId="82" fillId="34" borderId="14" xfId="42" applyNumberFormat="1" applyFont="1" applyFill="1" applyBorder="1" applyAlignment="1">
      <alignment horizontal="center" vertical="center"/>
    </xf>
    <xf numFmtId="179" fontId="84" fillId="34" borderId="14" xfId="42" applyNumberFormat="1" applyFont="1" applyFill="1" applyBorder="1" applyAlignment="1">
      <alignment horizontal="center" vertical="center"/>
    </xf>
    <xf numFmtId="0" fontId="22" fillId="0" borderId="10" xfId="61" applyFont="1" applyFill="1" applyBorder="1" applyAlignment="1">
      <alignment horizontal="left" vertical="center"/>
      <protection/>
    </xf>
    <xf numFmtId="0" fontId="13" fillId="0" borderId="10" xfId="61" applyFont="1" applyFill="1" applyBorder="1" applyAlignment="1">
      <alignment horizontal="left" vertical="center"/>
      <protection/>
    </xf>
    <xf numFmtId="43" fontId="82" fillId="34" borderId="14" xfId="42" applyFont="1" applyFill="1" applyBorder="1" applyAlignment="1">
      <alignment horizontal="center" vertical="center"/>
    </xf>
    <xf numFmtId="183" fontId="22" fillId="0" borderId="10" xfId="46" applyNumberFormat="1" applyFont="1" applyFill="1" applyBorder="1" applyAlignment="1">
      <alignment vertical="center"/>
    </xf>
    <xf numFmtId="179" fontId="2" fillId="34" borderId="14" xfId="42" applyNumberFormat="1" applyFont="1" applyFill="1" applyBorder="1" applyAlignment="1">
      <alignment horizontal="center" vertical="center"/>
    </xf>
    <xf numFmtId="183" fontId="13" fillId="0" borderId="10" xfId="46" applyNumberFormat="1" applyFont="1" applyFill="1" applyBorder="1" applyAlignment="1">
      <alignment vertical="center"/>
    </xf>
    <xf numFmtId="186" fontId="13" fillId="7" borderId="10" xfId="47" applyNumberFormat="1" applyFont="1" applyFill="1" applyBorder="1" applyAlignment="1">
      <alignment horizontal="center" vertical="center"/>
    </xf>
    <xf numFmtId="179" fontId="3" fillId="0" borderId="10" xfId="47" applyNumberFormat="1" applyFont="1" applyFill="1" applyBorder="1" applyAlignment="1">
      <alignment horizontal="center" vertical="center"/>
    </xf>
    <xf numFmtId="185" fontId="3" fillId="0" borderId="10" xfId="47" applyNumberFormat="1" applyFont="1" applyFill="1" applyBorder="1" applyAlignment="1">
      <alignment horizontal="center" vertical="center"/>
    </xf>
    <xf numFmtId="179" fontId="3" fillId="34" borderId="14" xfId="42" applyNumberFormat="1" applyFont="1" applyFill="1" applyBorder="1" applyAlignment="1">
      <alignment horizontal="center" vertical="center"/>
    </xf>
    <xf numFmtId="179" fontId="3" fillId="0" borderId="10" xfId="47" applyNumberFormat="1" applyFont="1" applyFill="1" applyBorder="1" applyAlignment="1">
      <alignment horizontal="right" vertical="center"/>
    </xf>
    <xf numFmtId="181" fontId="3" fillId="0" borderId="10" xfId="42" applyNumberFormat="1" applyFont="1" applyFill="1" applyBorder="1" applyAlignment="1">
      <alignment horizontal="center" vertical="center"/>
    </xf>
    <xf numFmtId="183" fontId="13" fillId="0" borderId="10" xfId="45" applyNumberFormat="1" applyFont="1" applyFill="1" applyBorder="1" applyAlignment="1">
      <alignment horizontal="left" vertical="center"/>
    </xf>
    <xf numFmtId="179" fontId="3" fillId="0" borderId="15" xfId="47" applyNumberFormat="1" applyFont="1" applyFill="1" applyBorder="1" applyAlignment="1">
      <alignment horizontal="center" vertical="center"/>
    </xf>
    <xf numFmtId="185" fontId="3" fillId="0" borderId="15" xfId="47" applyNumberFormat="1" applyFont="1" applyFill="1" applyBorder="1" applyAlignment="1">
      <alignment horizontal="center" vertical="center"/>
    </xf>
    <xf numFmtId="179" fontId="3" fillId="0" borderId="15" xfId="47" applyNumberFormat="1" applyFont="1" applyFill="1" applyBorder="1" applyAlignment="1">
      <alignment horizontal="right" vertical="center"/>
    </xf>
    <xf numFmtId="183" fontId="22" fillId="0" borderId="10" xfId="45" applyNumberFormat="1" applyFont="1" applyFill="1" applyBorder="1" applyAlignment="1">
      <alignment horizontal="left" vertical="center"/>
    </xf>
    <xf numFmtId="185" fontId="22" fillId="7" borderId="10" xfId="47" applyNumberFormat="1" applyFont="1" applyFill="1" applyBorder="1" applyAlignment="1">
      <alignment horizontal="center" vertical="center"/>
    </xf>
    <xf numFmtId="43" fontId="2" fillId="34" borderId="14" xfId="42" applyNumberFormat="1" applyFont="1" applyFill="1" applyBorder="1" applyAlignment="1">
      <alignment horizontal="center" vertical="center"/>
    </xf>
    <xf numFmtId="4" fontId="23" fillId="34" borderId="14" xfId="42" applyNumberFormat="1" applyFont="1" applyFill="1" applyBorder="1" applyAlignment="1">
      <alignment horizontal="center" vertical="center"/>
    </xf>
    <xf numFmtId="43" fontId="3" fillId="34" borderId="14" xfId="42" applyNumberFormat="1" applyFont="1" applyFill="1" applyBorder="1" applyAlignment="1">
      <alignment horizontal="center" vertical="center"/>
    </xf>
    <xf numFmtId="3" fontId="23" fillId="34" borderId="14" xfId="42" applyNumberFormat="1" applyFont="1" applyFill="1" applyBorder="1" applyAlignment="1">
      <alignment horizontal="center" vertical="center"/>
    </xf>
    <xf numFmtId="3" fontId="23" fillId="34" borderId="16" xfId="42" applyNumberFormat="1" applyFont="1" applyFill="1" applyBorder="1" applyAlignment="1">
      <alignment horizontal="center" vertical="center"/>
    </xf>
    <xf numFmtId="4" fontId="23" fillId="34" borderId="16" xfId="42" applyNumberFormat="1" applyFont="1" applyFill="1" applyBorder="1" applyAlignment="1">
      <alignment horizontal="center" vertical="center"/>
    </xf>
    <xf numFmtId="185" fontId="22" fillId="7" borderId="10" xfId="47" applyNumberFormat="1" applyFont="1" applyFill="1" applyBorder="1" applyAlignment="1">
      <alignment horizontal="right" vertical="center"/>
    </xf>
    <xf numFmtId="3" fontId="23" fillId="34" borderId="17" xfId="42" applyNumberFormat="1" applyFont="1" applyFill="1" applyBorder="1" applyAlignment="1">
      <alignment horizontal="center" vertical="center"/>
    </xf>
    <xf numFmtId="4" fontId="23" fillId="34" borderId="17" xfId="42" applyNumberFormat="1" applyFont="1" applyFill="1" applyBorder="1" applyAlignment="1">
      <alignment horizontal="center" vertical="center"/>
    </xf>
    <xf numFmtId="185" fontId="3" fillId="34" borderId="14" xfId="42" applyNumberFormat="1" applyFont="1" applyFill="1" applyBorder="1" applyAlignment="1">
      <alignment horizontal="center" vertical="center"/>
    </xf>
    <xf numFmtId="0" fontId="13" fillId="0" borderId="10" xfId="61" applyFont="1" applyFill="1" applyBorder="1" applyAlignment="1">
      <alignment vertical="center" wrapText="1"/>
      <protection/>
    </xf>
    <xf numFmtId="192" fontId="3" fillId="34" borderId="14" xfId="42" applyNumberFormat="1" applyFont="1" applyFill="1" applyBorder="1" applyAlignment="1">
      <alignment horizontal="center" vertical="center"/>
    </xf>
    <xf numFmtId="179" fontId="2" fillId="34" borderId="10" xfId="42" applyNumberFormat="1" applyFont="1" applyFill="1" applyBorder="1" applyAlignment="1">
      <alignment horizontal="center" vertical="center"/>
    </xf>
    <xf numFmtId="179" fontId="3" fillId="34" borderId="10" xfId="42" applyNumberFormat="1" applyFont="1" applyFill="1" applyBorder="1" applyAlignment="1">
      <alignment horizontal="center" vertical="center"/>
    </xf>
    <xf numFmtId="4" fontId="3" fillId="0" borderId="10" xfId="42" applyNumberFormat="1" applyFont="1" applyBorder="1" applyAlignment="1">
      <alignment horizontal="right" vertical="center"/>
    </xf>
    <xf numFmtId="191" fontId="3" fillId="0" borderId="10" xfId="44" applyNumberFormat="1" applyFont="1" applyBorder="1" applyAlignment="1">
      <alignment horizontal="right" vertical="center"/>
    </xf>
    <xf numFmtId="190" fontId="3" fillId="0" borderId="10" xfId="44" applyNumberFormat="1" applyFont="1" applyBorder="1" applyAlignment="1">
      <alignment horizontal="right" vertical="center"/>
    </xf>
    <xf numFmtId="183" fontId="3" fillId="34" borderId="10" xfId="42" applyNumberFormat="1" applyFont="1" applyFill="1" applyBorder="1" applyAlignment="1">
      <alignment horizontal="center" vertical="center"/>
    </xf>
    <xf numFmtId="43" fontId="22" fillId="7" borderId="10" xfId="47" applyNumberFormat="1" applyFont="1" applyFill="1" applyBorder="1" applyAlignment="1">
      <alignment horizontal="center" vertical="center"/>
    </xf>
    <xf numFmtId="0" fontId="24" fillId="0" borderId="10" xfId="61" applyFont="1" applyFill="1" applyBorder="1" applyAlignment="1">
      <alignment horizontal="center" vertical="center"/>
      <protection/>
    </xf>
    <xf numFmtId="179" fontId="11" fillId="7" borderId="10" xfId="47" applyNumberFormat="1" applyFont="1" applyFill="1" applyBorder="1" applyAlignment="1">
      <alignment horizontal="center" vertical="center"/>
    </xf>
    <xf numFmtId="0" fontId="11" fillId="7" borderId="10" xfId="61" applyFont="1" applyFill="1" applyBorder="1" applyAlignment="1">
      <alignment horizontal="right" vertical="center" wrapText="1"/>
      <protection/>
    </xf>
    <xf numFmtId="0" fontId="11" fillId="7" borderId="10" xfId="61" applyFont="1" applyFill="1" applyBorder="1" applyAlignment="1">
      <alignment horizontal="center" vertical="center" wrapText="1"/>
      <protection/>
    </xf>
    <xf numFmtId="186" fontId="11" fillId="7" borderId="10" xfId="47" applyNumberFormat="1" applyFont="1" applyFill="1" applyBorder="1" applyAlignment="1">
      <alignment horizontal="center" vertical="center"/>
    </xf>
    <xf numFmtId="179" fontId="11" fillId="7" borderId="10" xfId="47" applyNumberFormat="1" applyFont="1" applyFill="1" applyBorder="1" applyAlignment="1">
      <alignment horizontal="right" vertical="center"/>
    </xf>
    <xf numFmtId="183" fontId="11" fillId="7" borderId="10" xfId="47" applyNumberFormat="1" applyFont="1" applyFill="1" applyBorder="1" applyAlignment="1">
      <alignment horizontal="center" vertical="center"/>
    </xf>
    <xf numFmtId="43" fontId="2" fillId="34" borderId="10" xfId="42" applyFont="1" applyFill="1" applyBorder="1" applyAlignment="1">
      <alignment horizontal="center" vertical="center"/>
    </xf>
    <xf numFmtId="179" fontId="21" fillId="34" borderId="14" xfId="42" applyNumberFormat="1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186" fontId="3" fillId="0" borderId="10" xfId="47" applyNumberFormat="1" applyFont="1" applyFill="1" applyBorder="1" applyAlignment="1">
      <alignment horizontal="center" vertical="center"/>
    </xf>
    <xf numFmtId="179" fontId="21" fillId="34" borderId="17" xfId="42" applyNumberFormat="1" applyFont="1" applyFill="1" applyBorder="1" applyAlignment="1">
      <alignment horizontal="center" vertical="center"/>
    </xf>
    <xf numFmtId="179" fontId="3" fillId="0" borderId="18" xfId="47" applyNumberFormat="1" applyFont="1" applyFill="1" applyBorder="1" applyAlignment="1">
      <alignment horizontal="center" vertical="center"/>
    </xf>
    <xf numFmtId="0" fontId="3" fillId="0" borderId="18" xfId="61" applyFont="1" applyFill="1" applyBorder="1" applyAlignment="1">
      <alignment horizontal="right" vertical="center" wrapText="1"/>
      <protection/>
    </xf>
    <xf numFmtId="186" fontId="3" fillId="0" borderId="18" xfId="47" applyNumberFormat="1" applyFont="1" applyFill="1" applyBorder="1" applyAlignment="1">
      <alignment horizontal="center" vertical="center"/>
    </xf>
    <xf numFmtId="179" fontId="3" fillId="0" borderId="18" xfId="47" applyNumberFormat="1" applyFont="1" applyFill="1" applyBorder="1" applyAlignment="1">
      <alignment horizontal="right" vertical="center"/>
    </xf>
    <xf numFmtId="179" fontId="2" fillId="34" borderId="17" xfId="42" applyNumberFormat="1" applyFont="1" applyFill="1" applyBorder="1" applyAlignment="1">
      <alignment horizontal="center" vertical="center"/>
    </xf>
    <xf numFmtId="179" fontId="21" fillId="34" borderId="10" xfId="42" applyNumberFormat="1" applyFont="1" applyFill="1" applyBorder="1" applyAlignment="1">
      <alignment horizontal="center" vertical="center"/>
    </xf>
    <xf numFmtId="0" fontId="11" fillId="0" borderId="18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vertical="center"/>
      <protection/>
    </xf>
    <xf numFmtId="185" fontId="11" fillId="7" borderId="10" xfId="47" applyNumberFormat="1" applyFont="1" applyFill="1" applyBorder="1" applyAlignment="1">
      <alignment horizontal="center" vertical="center"/>
    </xf>
    <xf numFmtId="1" fontId="13" fillId="0" borderId="10" xfId="47" applyNumberFormat="1" applyFont="1" applyFill="1" applyBorder="1" applyAlignment="1" applyProtection="1">
      <alignment horizontal="center" vertical="center" wrapText="1"/>
      <protection/>
    </xf>
    <xf numFmtId="179" fontId="3" fillId="0" borderId="10" xfId="42" applyNumberFormat="1" applyFont="1" applyBorder="1" applyAlignment="1">
      <alignment/>
    </xf>
    <xf numFmtId="0" fontId="26" fillId="0" borderId="10" xfId="61" applyFont="1" applyFill="1" applyBorder="1" applyAlignment="1">
      <alignment horizontal="center" vertical="center"/>
      <protection/>
    </xf>
    <xf numFmtId="179" fontId="13" fillId="7" borderId="10" xfId="47" applyNumberFormat="1" applyFont="1" applyFill="1" applyBorder="1" applyAlignment="1">
      <alignment horizontal="right"/>
    </xf>
    <xf numFmtId="0" fontId="25" fillId="0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79" fontId="11" fillId="7" borderId="10" xfId="47" applyNumberFormat="1" applyFont="1" applyFill="1" applyBorder="1" applyAlignment="1">
      <alignment horizontal="right"/>
    </xf>
    <xf numFmtId="179" fontId="3" fillId="0" borderId="18" xfId="42" applyNumberFormat="1" applyFont="1" applyBorder="1" applyAlignment="1">
      <alignment/>
    </xf>
    <xf numFmtId="185" fontId="3" fillId="0" borderId="18" xfId="47" applyNumberFormat="1" applyFont="1" applyFill="1" applyBorder="1" applyAlignment="1">
      <alignment horizontal="center" vertical="center"/>
    </xf>
    <xf numFmtId="179" fontId="2" fillId="0" borderId="10" xfId="47" applyNumberFormat="1" applyFont="1" applyFill="1" applyBorder="1" applyAlignment="1">
      <alignment horizontal="center" vertical="center"/>
    </xf>
    <xf numFmtId="43" fontId="81" fillId="0" borderId="10" xfId="42" applyFont="1" applyBorder="1" applyAlignment="1" quotePrefix="1">
      <alignment horizontal="center" vertical="center" wrapText="1"/>
    </xf>
    <xf numFmtId="181" fontId="81" fillId="0" borderId="10" xfId="42" applyNumberFormat="1" applyFont="1" applyBorder="1" applyAlignment="1" quotePrefix="1">
      <alignment horizontal="center" vertical="center" wrapText="1"/>
    </xf>
    <xf numFmtId="179" fontId="3" fillId="0" borderId="10" xfId="42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79" fontId="3" fillId="34" borderId="10" xfId="42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27" fillId="0" borderId="10" xfId="61" applyFont="1" applyFill="1" applyBorder="1" applyAlignment="1">
      <alignment horizontal="center" vertical="center"/>
      <protection/>
    </xf>
    <xf numFmtId="43" fontId="81" fillId="34" borderId="10" xfId="42" applyFont="1" applyFill="1" applyBorder="1" applyAlignment="1" quotePrefix="1">
      <alignment horizontal="center" vertical="center" wrapText="1"/>
    </xf>
    <xf numFmtId="179" fontId="82" fillId="0" borderId="10" xfId="42" applyNumberFormat="1" applyFont="1" applyFill="1" applyBorder="1" applyAlignment="1">
      <alignment/>
    </xf>
    <xf numFmtId="183" fontId="2" fillId="0" borderId="10" xfId="47" applyNumberFormat="1" applyFont="1" applyFill="1" applyBorder="1" applyAlignment="1">
      <alignment horizontal="center" vertical="center"/>
    </xf>
    <xf numFmtId="179" fontId="82" fillId="34" borderId="10" xfId="42" applyNumberFormat="1" applyFont="1" applyFill="1" applyBorder="1" applyAlignment="1">
      <alignment horizontal="center"/>
    </xf>
    <xf numFmtId="43" fontId="82" fillId="34" borderId="10" xfId="42" applyFont="1" applyFill="1" applyBorder="1" applyAlignment="1" quotePrefix="1">
      <alignment horizontal="center" wrapText="1"/>
    </xf>
    <xf numFmtId="179" fontId="3" fillId="34" borderId="10" xfId="42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81" fontId="82" fillId="34" borderId="10" xfId="42" applyNumberFormat="1" applyFont="1" applyFill="1" applyBorder="1" applyAlignment="1">
      <alignment horizontal="right"/>
    </xf>
    <xf numFmtId="179" fontId="83" fillId="34" borderId="10" xfId="42" applyNumberFormat="1" applyFont="1" applyFill="1" applyBorder="1" applyAlignment="1">
      <alignment horizontal="center"/>
    </xf>
    <xf numFmtId="43" fontId="82" fillId="34" borderId="10" xfId="42" applyFont="1" applyFill="1" applyBorder="1" applyAlignment="1">
      <alignment horizontal="right"/>
    </xf>
    <xf numFmtId="1" fontId="22" fillId="0" borderId="10" xfId="47" applyNumberFormat="1" applyFont="1" applyFill="1" applyBorder="1" applyAlignment="1" applyProtection="1">
      <alignment horizontal="center" vertical="center" wrapText="1"/>
      <protection/>
    </xf>
    <xf numFmtId="49" fontId="22" fillId="0" borderId="10" xfId="61" applyNumberFormat="1" applyFont="1" applyFill="1" applyBorder="1" applyAlignment="1">
      <alignment vertical="center" wrapText="1"/>
      <protection/>
    </xf>
    <xf numFmtId="179" fontId="2" fillId="0" borderId="10" xfId="42" applyNumberFormat="1" applyFont="1" applyBorder="1" applyAlignment="1">
      <alignment/>
    </xf>
    <xf numFmtId="1" fontId="22" fillId="0" borderId="10" xfId="47" applyNumberFormat="1" applyFont="1" applyFill="1" applyBorder="1" applyAlignment="1" applyProtection="1" quotePrefix="1">
      <alignment horizontal="center" vertical="center" wrapText="1"/>
      <protection/>
    </xf>
    <xf numFmtId="1" fontId="13" fillId="0" borderId="10" xfId="47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61" applyFont="1" applyFill="1" applyBorder="1">
      <alignment/>
      <protection/>
    </xf>
    <xf numFmtId="0" fontId="82" fillId="0" borderId="10" xfId="0" applyFont="1" applyFill="1" applyBorder="1" applyAlignment="1">
      <alignment/>
    </xf>
    <xf numFmtId="0" fontId="82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79" fontId="82" fillId="0" borderId="10" xfId="42" applyNumberFormat="1" applyFont="1" applyBorder="1" applyAlignment="1">
      <alignment/>
    </xf>
    <xf numFmtId="181" fontId="82" fillId="0" borderId="10" xfId="42" applyNumberFormat="1" applyFont="1" applyBorder="1" applyAlignment="1">
      <alignment/>
    </xf>
    <xf numFmtId="179" fontId="82" fillId="0" borderId="0" xfId="42" applyNumberFormat="1" applyFont="1" applyAlignment="1">
      <alignment/>
    </xf>
    <xf numFmtId="179" fontId="82" fillId="34" borderId="0" xfId="42" applyNumberFormat="1" applyFont="1" applyFill="1" applyAlignment="1">
      <alignment horizontal="center"/>
    </xf>
    <xf numFmtId="1" fontId="11" fillId="0" borderId="10" xfId="47" applyNumberFormat="1" applyFont="1" applyFill="1" applyBorder="1" applyAlignment="1" applyProtection="1">
      <alignment horizontal="center" vertical="center" wrapText="1"/>
      <protection/>
    </xf>
    <xf numFmtId="179" fontId="28" fillId="7" borderId="10" xfId="47" applyNumberFormat="1" applyFont="1" applyFill="1" applyBorder="1" applyAlignment="1">
      <alignment horizontal="right" vertical="center"/>
    </xf>
    <xf numFmtId="179" fontId="28" fillId="7" borderId="10" xfId="47" applyNumberFormat="1" applyFont="1" applyFill="1" applyBorder="1" applyAlignment="1">
      <alignment horizontal="center" vertical="center"/>
    </xf>
    <xf numFmtId="181" fontId="8" fillId="7" borderId="0" xfId="42" applyNumberFormat="1" applyFont="1" applyFill="1" applyAlignment="1">
      <alignment/>
    </xf>
    <xf numFmtId="181" fontId="8" fillId="7" borderId="0" xfId="42" applyNumberFormat="1" applyFont="1" applyFill="1" applyAlignment="1">
      <alignment horizontal="center"/>
    </xf>
    <xf numFmtId="181" fontId="13" fillId="7" borderId="10" xfId="42" applyNumberFormat="1" applyFont="1" applyFill="1" applyBorder="1" applyAlignment="1" quotePrefix="1">
      <alignment horizontal="center" vertical="center" wrapText="1"/>
    </xf>
    <xf numFmtId="181" fontId="22" fillId="7" borderId="10" xfId="42" applyNumberFormat="1" applyFont="1" applyFill="1" applyBorder="1" applyAlignment="1" quotePrefix="1">
      <alignment horizontal="center" vertical="center" wrapText="1"/>
    </xf>
    <xf numFmtId="181" fontId="22" fillId="7" borderId="10" xfId="42" applyNumberFormat="1" applyFont="1" applyFill="1" applyBorder="1" applyAlignment="1">
      <alignment horizontal="center" vertical="center"/>
    </xf>
    <xf numFmtId="181" fontId="13" fillId="7" borderId="10" xfId="42" applyNumberFormat="1" applyFont="1" applyFill="1" applyBorder="1" applyAlignment="1">
      <alignment horizontal="center" vertical="center"/>
    </xf>
    <xf numFmtId="181" fontId="25" fillId="7" borderId="10" xfId="42" applyNumberFormat="1" applyFont="1" applyFill="1" applyBorder="1" applyAlignment="1">
      <alignment horizontal="center" vertical="center"/>
    </xf>
    <xf numFmtId="181" fontId="11" fillId="7" borderId="10" xfId="42" applyNumberFormat="1" applyFont="1" applyFill="1" applyBorder="1" applyAlignment="1">
      <alignment horizontal="center" vertical="center"/>
    </xf>
    <xf numFmtId="181" fontId="26" fillId="7" borderId="10" xfId="42" applyNumberFormat="1" applyFont="1" applyFill="1" applyBorder="1" applyAlignment="1">
      <alignment horizontal="center" vertical="center"/>
    </xf>
    <xf numFmtId="181" fontId="27" fillId="7" borderId="10" xfId="42" applyNumberFormat="1" applyFont="1" applyFill="1" applyBorder="1" applyAlignment="1">
      <alignment horizontal="center" vertical="center"/>
    </xf>
    <xf numFmtId="181" fontId="24" fillId="7" borderId="10" xfId="42" applyNumberFormat="1" applyFont="1" applyFill="1" applyBorder="1" applyAlignment="1">
      <alignment horizontal="center" vertical="center"/>
    </xf>
    <xf numFmtId="181" fontId="5" fillId="7" borderId="10" xfId="42" applyNumberFormat="1" applyFont="1" applyFill="1" applyBorder="1" applyAlignment="1">
      <alignment horizontal="center" vertical="center"/>
    </xf>
    <xf numFmtId="181" fontId="0" fillId="7" borderId="0" xfId="42" applyNumberFormat="1" applyFont="1" applyFill="1" applyAlignment="1">
      <alignment/>
    </xf>
    <xf numFmtId="183" fontId="82" fillId="0" borderId="19" xfId="42" applyNumberFormat="1" applyFont="1" applyBorder="1" applyAlignment="1" quotePrefix="1">
      <alignment horizontal="center" vertical="center" wrapText="1"/>
    </xf>
    <xf numFmtId="43" fontId="81" fillId="34" borderId="20" xfId="42" applyFont="1" applyFill="1" applyBorder="1" applyAlignment="1" quotePrefix="1">
      <alignment horizontal="center" vertical="center" wrapText="1"/>
    </xf>
    <xf numFmtId="43" fontId="81" fillId="0" borderId="20" xfId="42" applyFont="1" applyBorder="1" applyAlignment="1" quotePrefix="1">
      <alignment horizontal="center" vertical="center" wrapText="1"/>
    </xf>
    <xf numFmtId="43" fontId="81" fillId="0" borderId="21" xfId="42" applyFont="1" applyBorder="1" applyAlignment="1" quotePrefix="1">
      <alignment horizontal="center" vertical="center" wrapText="1"/>
    </xf>
    <xf numFmtId="179" fontId="82" fillId="34" borderId="12" xfId="42" applyNumberFormat="1" applyFont="1" applyFill="1" applyBorder="1" applyAlignment="1">
      <alignment horizontal="center" vertical="center"/>
    </xf>
    <xf numFmtId="179" fontId="81" fillId="34" borderId="20" xfId="42" applyNumberFormat="1" applyFont="1" applyFill="1" applyBorder="1" applyAlignment="1">
      <alignment horizontal="center" vertical="center"/>
    </xf>
    <xf numFmtId="43" fontId="81" fillId="34" borderId="20" xfId="42" applyFont="1" applyFill="1" applyBorder="1" applyAlignment="1">
      <alignment horizontal="center" vertical="center"/>
    </xf>
    <xf numFmtId="179" fontId="82" fillId="34" borderId="21" xfId="42" applyNumberFormat="1" applyFont="1" applyFill="1" applyBorder="1" applyAlignment="1">
      <alignment horizontal="center" vertical="center"/>
    </xf>
    <xf numFmtId="43" fontId="82" fillId="34" borderId="12" xfId="42" applyFont="1" applyFill="1" applyBorder="1" applyAlignment="1" quotePrefix="1">
      <alignment horizontal="center" vertical="center" wrapText="1"/>
    </xf>
    <xf numFmtId="194" fontId="81" fillId="34" borderId="20" xfId="42" applyNumberFormat="1" applyFont="1" applyFill="1" applyBorder="1" applyAlignment="1">
      <alignment horizontal="center" vertical="center"/>
    </xf>
    <xf numFmtId="179" fontId="82" fillId="34" borderId="20" xfId="42" applyNumberFormat="1" applyFont="1" applyFill="1" applyBorder="1" applyAlignment="1">
      <alignment horizontal="center" vertical="center"/>
    </xf>
    <xf numFmtId="43" fontId="82" fillId="34" borderId="20" xfId="42" applyFont="1" applyFill="1" applyBorder="1" applyAlignment="1">
      <alignment horizontal="center" vertical="center"/>
    </xf>
    <xf numFmtId="179" fontId="2" fillId="34" borderId="20" xfId="42" applyNumberFormat="1" applyFont="1" applyFill="1" applyBorder="1" applyAlignment="1">
      <alignment horizontal="center" vertical="center"/>
    </xf>
    <xf numFmtId="179" fontId="3" fillId="0" borderId="12" xfId="47" applyNumberFormat="1" applyFont="1" applyFill="1" applyBorder="1" applyAlignment="1">
      <alignment horizontal="center" vertical="center"/>
    </xf>
    <xf numFmtId="43" fontId="2" fillId="34" borderId="20" xfId="42" applyNumberFormat="1" applyFont="1" applyFill="1" applyBorder="1" applyAlignment="1">
      <alignment horizontal="center" vertical="center"/>
    </xf>
    <xf numFmtId="4" fontId="23" fillId="34" borderId="20" xfId="42" applyNumberFormat="1" applyFont="1" applyFill="1" applyBorder="1" applyAlignment="1">
      <alignment horizontal="center" vertical="center"/>
    </xf>
    <xf numFmtId="4" fontId="23" fillId="34" borderId="22" xfId="42" applyNumberFormat="1" applyFont="1" applyFill="1" applyBorder="1" applyAlignment="1">
      <alignment horizontal="center" vertical="center"/>
    </xf>
    <xf numFmtId="4" fontId="23" fillId="34" borderId="23" xfId="42" applyNumberFormat="1" applyFont="1" applyFill="1" applyBorder="1" applyAlignment="1">
      <alignment horizontal="center" vertical="center"/>
    </xf>
    <xf numFmtId="179" fontId="3" fillId="34" borderId="20" xfId="42" applyNumberFormat="1" applyFont="1" applyFill="1" applyBorder="1" applyAlignment="1">
      <alignment horizontal="center" vertical="center"/>
    </xf>
    <xf numFmtId="179" fontId="3" fillId="34" borderId="12" xfId="42" applyNumberFormat="1" applyFont="1" applyFill="1" applyBorder="1" applyAlignment="1">
      <alignment horizontal="center" vertical="center"/>
    </xf>
    <xf numFmtId="179" fontId="3" fillId="34" borderId="23" xfId="42" applyNumberFormat="1" applyFont="1" applyFill="1" applyBorder="1" applyAlignment="1">
      <alignment horizontal="center" vertical="center"/>
    </xf>
    <xf numFmtId="179" fontId="2" fillId="0" borderId="12" xfId="47" applyNumberFormat="1" applyFont="1" applyFill="1" applyBorder="1" applyAlignment="1">
      <alignment horizontal="center" vertical="center"/>
    </xf>
    <xf numFmtId="43" fontId="81" fillId="0" borderId="12" xfId="42" applyFont="1" applyBorder="1" applyAlignment="1" quotePrefix="1">
      <alignment horizontal="center" vertical="center" wrapText="1"/>
    </xf>
    <xf numFmtId="43" fontId="81" fillId="34" borderId="12" xfId="42" applyFont="1" applyFill="1" applyBorder="1" applyAlignment="1" quotePrefix="1">
      <alignment horizontal="center" vertical="center" wrapText="1"/>
    </xf>
    <xf numFmtId="183" fontId="2" fillId="0" borderId="12" xfId="47" applyNumberFormat="1" applyFont="1" applyFill="1" applyBorder="1" applyAlignment="1">
      <alignment horizontal="center" vertical="center"/>
    </xf>
    <xf numFmtId="43" fontId="82" fillId="34" borderId="12" xfId="42" applyFont="1" applyFill="1" applyBorder="1" applyAlignment="1" quotePrefix="1">
      <alignment horizontal="center" wrapText="1"/>
    </xf>
    <xf numFmtId="181" fontId="82" fillId="0" borderId="10" xfId="42" applyNumberFormat="1" applyFont="1" applyBorder="1" applyAlignment="1">
      <alignment horizontal="center" vertical="center" wrapText="1"/>
    </xf>
    <xf numFmtId="181" fontId="81" fillId="34" borderId="10" xfId="42" applyNumberFormat="1" applyFont="1" applyFill="1" applyBorder="1" applyAlignment="1" quotePrefix="1">
      <alignment horizontal="center" vertical="center" wrapText="1"/>
    </xf>
    <xf numFmtId="181" fontId="81" fillId="34" borderId="10" xfId="42" applyNumberFormat="1" applyFont="1" applyFill="1" applyBorder="1" applyAlignment="1">
      <alignment horizontal="center" vertical="center"/>
    </xf>
    <xf numFmtId="183" fontId="81" fillId="34" borderId="10" xfId="42" applyNumberFormat="1" applyFont="1" applyFill="1" applyBorder="1" applyAlignment="1">
      <alignment horizontal="center" vertical="center"/>
    </xf>
    <xf numFmtId="194" fontId="81" fillId="34" borderId="10" xfId="42" applyNumberFormat="1" applyFont="1" applyFill="1" applyBorder="1" applyAlignment="1">
      <alignment horizontal="center" vertical="center"/>
    </xf>
    <xf numFmtId="196" fontId="82" fillId="34" borderId="10" xfId="42" applyNumberFormat="1" applyFont="1" applyFill="1" applyBorder="1" applyAlignment="1">
      <alignment horizontal="center" vertical="center"/>
    </xf>
    <xf numFmtId="196" fontId="81" fillId="34" borderId="10" xfId="42" applyNumberFormat="1" applyFont="1" applyFill="1" applyBorder="1" applyAlignment="1">
      <alignment horizontal="center" vertical="center"/>
    </xf>
    <xf numFmtId="183" fontId="2" fillId="34" borderId="10" xfId="42" applyNumberFormat="1" applyFont="1" applyFill="1" applyBorder="1" applyAlignment="1">
      <alignment horizontal="center" vertical="center"/>
    </xf>
    <xf numFmtId="43" fontId="2" fillId="34" borderId="10" xfId="42" applyNumberFormat="1" applyFont="1" applyFill="1" applyBorder="1" applyAlignment="1">
      <alignment horizontal="center" vertical="center"/>
    </xf>
    <xf numFmtId="3" fontId="23" fillId="34" borderId="10" xfId="42" applyNumberFormat="1" applyFont="1" applyFill="1" applyBorder="1" applyAlignment="1">
      <alignment horizontal="right" vertical="center"/>
    </xf>
    <xf numFmtId="196" fontId="3" fillId="34" borderId="10" xfId="42" applyNumberFormat="1" applyFont="1" applyFill="1" applyBorder="1" applyAlignment="1">
      <alignment horizontal="center" vertical="center"/>
    </xf>
    <xf numFmtId="196" fontId="3" fillId="34" borderId="10" xfId="42" applyNumberFormat="1" applyFont="1" applyFill="1" applyBorder="1" applyAlignment="1">
      <alignment horizontal="right" vertical="center"/>
    </xf>
    <xf numFmtId="0" fontId="10" fillId="0" borderId="10" xfId="61" applyFont="1" applyFill="1" applyBorder="1" applyAlignment="1">
      <alignment horizontal="center" vertical="center"/>
      <protection/>
    </xf>
    <xf numFmtId="0" fontId="73" fillId="34" borderId="14" xfId="0" applyFont="1" applyFill="1" applyBorder="1" applyAlignment="1">
      <alignment horizontal="center" vertical="center"/>
    </xf>
    <xf numFmtId="0" fontId="73" fillId="34" borderId="14" xfId="0" applyFont="1" applyFill="1" applyBorder="1" applyAlignment="1">
      <alignment vertical="center"/>
    </xf>
    <xf numFmtId="179" fontId="73" fillId="34" borderId="14" xfId="42" applyNumberFormat="1" applyFont="1" applyFill="1" applyBorder="1" applyAlignment="1">
      <alignment horizontal="center" vertical="center"/>
    </xf>
    <xf numFmtId="0" fontId="70" fillId="0" borderId="24" xfId="0" applyNumberFormat="1" applyFont="1" applyBorder="1" applyAlignment="1">
      <alignment horizontal="left" vertical="center" wrapText="1"/>
    </xf>
    <xf numFmtId="179" fontId="75" fillId="34" borderId="14" xfId="42" applyNumberFormat="1" applyFont="1" applyFill="1" applyBorder="1" applyAlignment="1">
      <alignment horizontal="center" vertical="center"/>
    </xf>
    <xf numFmtId="183" fontId="72" fillId="34" borderId="14" xfId="42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 wrapText="1"/>
    </xf>
    <xf numFmtId="43" fontId="72" fillId="34" borderId="14" xfId="0" applyNumberFormat="1" applyFont="1" applyFill="1" applyBorder="1" applyAlignment="1">
      <alignment horizontal="center" vertical="center" wrapText="1"/>
    </xf>
    <xf numFmtId="0" fontId="75" fillId="34" borderId="0" xfId="0" applyFont="1" applyFill="1" applyAlignment="1">
      <alignment horizontal="center" vertical="center"/>
    </xf>
    <xf numFmtId="179" fontId="72" fillId="34" borderId="14" xfId="42" applyNumberFormat="1" applyFont="1" applyFill="1" applyBorder="1" applyAlignment="1">
      <alignment horizontal="center" vertical="center" wrapText="1"/>
    </xf>
    <xf numFmtId="0" fontId="72" fillId="34" borderId="14" xfId="0" applyFont="1" applyFill="1" applyBorder="1" applyAlignment="1">
      <alignment vertical="center" wrapText="1"/>
    </xf>
    <xf numFmtId="0" fontId="72" fillId="34" borderId="17" xfId="0" applyFont="1" applyFill="1" applyBorder="1" applyAlignment="1">
      <alignment vertical="center" wrapText="1"/>
    </xf>
    <xf numFmtId="0" fontId="76" fillId="34" borderId="14" xfId="0" applyFont="1" applyFill="1" applyBorder="1" applyAlignment="1">
      <alignment vertical="center" wrapText="1"/>
    </xf>
    <xf numFmtId="181" fontId="70" fillId="0" borderId="10" xfId="42" applyNumberFormat="1" applyFont="1" applyBorder="1" applyAlignment="1">
      <alignment/>
    </xf>
    <xf numFmtId="181" fontId="70" fillId="0" borderId="10" xfId="42" applyNumberFormat="1" applyFont="1" applyBorder="1" applyAlignment="1">
      <alignment vertical="center"/>
    </xf>
    <xf numFmtId="181" fontId="72" fillId="34" borderId="0" xfId="42" applyNumberFormat="1" applyFont="1" applyFill="1" applyAlignment="1">
      <alignment horizontal="center" vertical="center"/>
    </xf>
    <xf numFmtId="183" fontId="14" fillId="34" borderId="10" xfId="42" applyNumberFormat="1" applyFont="1" applyFill="1" applyBorder="1" applyAlignment="1">
      <alignment horizontal="center" vertical="center"/>
    </xf>
    <xf numFmtId="183" fontId="71" fillId="34" borderId="0" xfId="0" applyNumberFormat="1" applyFont="1" applyFill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183" fontId="15" fillId="0" borderId="15" xfId="44" applyNumberFormat="1" applyFont="1" applyBorder="1" applyAlignment="1">
      <alignment horizontal="left" vertical="center"/>
    </xf>
    <xf numFmtId="43" fontId="14" fillId="34" borderId="15" xfId="42" applyFont="1" applyFill="1" applyBorder="1" applyAlignment="1">
      <alignment horizontal="center" vertical="center"/>
    </xf>
    <xf numFmtId="179" fontId="15" fillId="34" borderId="15" xfId="42" applyNumberFormat="1" applyFont="1" applyFill="1" applyBorder="1" applyAlignment="1">
      <alignment horizontal="center" vertical="center"/>
    </xf>
    <xf numFmtId="4" fontId="15" fillId="0" borderId="15" xfId="42" applyNumberFormat="1" applyFont="1" applyBorder="1" applyAlignment="1">
      <alignment horizontal="right" vertical="center"/>
    </xf>
    <xf numFmtId="191" fontId="15" fillId="0" borderId="15" xfId="44" applyNumberFormat="1" applyFont="1" applyBorder="1" applyAlignment="1">
      <alignment horizontal="right" vertical="center"/>
    </xf>
    <xf numFmtId="190" fontId="15" fillId="0" borderId="15" xfId="44" applyNumberFormat="1" applyFont="1" applyBorder="1" applyAlignment="1">
      <alignment horizontal="right" vertical="center"/>
    </xf>
    <xf numFmtId="183" fontId="15" fillId="34" borderId="15" xfId="42" applyNumberFormat="1" applyFont="1" applyFill="1" applyBorder="1" applyAlignment="1">
      <alignment horizontal="center" vertical="center"/>
    </xf>
    <xf numFmtId="0" fontId="72" fillId="36" borderId="14" xfId="0" applyFont="1" applyFill="1" applyBorder="1" applyAlignment="1">
      <alignment horizontal="center" vertical="center"/>
    </xf>
    <xf numFmtId="0" fontId="72" fillId="36" borderId="25" xfId="0" applyFont="1" applyFill="1" applyBorder="1" applyAlignment="1">
      <alignment vertical="center" wrapText="1"/>
    </xf>
    <xf numFmtId="179" fontId="72" fillId="36" borderId="14" xfId="42" applyNumberFormat="1" applyFont="1" applyFill="1" applyBorder="1" applyAlignment="1">
      <alignment horizontal="center" vertical="center"/>
    </xf>
    <xf numFmtId="181" fontId="72" fillId="36" borderId="14" xfId="42" applyNumberFormat="1" applyFont="1" applyFill="1" applyBorder="1" applyAlignment="1">
      <alignment horizontal="center" vertical="center"/>
    </xf>
    <xf numFmtId="179" fontId="72" fillId="36" borderId="14" xfId="42" applyNumberFormat="1" applyFont="1" applyFill="1" applyBorder="1" applyAlignment="1">
      <alignment horizontal="center" vertical="center" wrapText="1"/>
    </xf>
    <xf numFmtId="0" fontId="72" fillId="36" borderId="0" xfId="0" applyFont="1" applyFill="1" applyAlignment="1">
      <alignment horizontal="center" vertical="center"/>
    </xf>
    <xf numFmtId="43" fontId="72" fillId="34" borderId="0" xfId="0" applyNumberFormat="1" applyFont="1" applyFill="1" applyAlignment="1">
      <alignment horizontal="center" vertical="center"/>
    </xf>
    <xf numFmtId="200" fontId="72" fillId="36" borderId="0" xfId="0" applyNumberFormat="1" applyFont="1" applyFill="1" applyAlignment="1">
      <alignment horizontal="center" vertical="center"/>
    </xf>
    <xf numFmtId="0" fontId="74" fillId="0" borderId="14" xfId="0" applyFont="1" applyBorder="1" applyAlignment="1">
      <alignment vertical="center" wrapText="1"/>
    </xf>
    <xf numFmtId="179" fontId="71" fillId="34" borderId="0" xfId="0" applyNumberFormat="1" applyFont="1" applyFill="1" applyAlignment="1">
      <alignment horizontal="center" vertical="center"/>
    </xf>
    <xf numFmtId="181" fontId="72" fillId="34" borderId="0" xfId="0" applyNumberFormat="1" applyFont="1" applyFill="1" applyAlignment="1">
      <alignment horizontal="center" vertical="center"/>
    </xf>
    <xf numFmtId="181" fontId="4" fillId="0" borderId="10" xfId="42" applyNumberFormat="1" applyFont="1" applyBorder="1" applyAlignment="1">
      <alignment/>
    </xf>
    <xf numFmtId="181" fontId="3" fillId="0" borderId="0" xfId="64" applyNumberFormat="1" applyFont="1" applyFill="1" applyBorder="1" applyAlignment="1">
      <alignment vertical="center"/>
      <protection/>
    </xf>
    <xf numFmtId="0" fontId="82" fillId="34" borderId="0" xfId="0" applyFont="1" applyFill="1" applyAlignment="1">
      <alignment/>
    </xf>
    <xf numFmtId="0" fontId="82" fillId="34" borderId="0" xfId="0" applyFont="1" applyFill="1" applyAlignment="1">
      <alignment vertical="center"/>
    </xf>
    <xf numFmtId="181" fontId="82" fillId="34" borderId="0" xfId="42" applyNumberFormat="1" applyFont="1" applyFill="1" applyAlignment="1">
      <alignment vertical="center"/>
    </xf>
    <xf numFmtId="180" fontId="82" fillId="34" borderId="0" xfId="42" applyNumberFormat="1" applyFont="1" applyFill="1" applyAlignment="1">
      <alignment horizontal="center"/>
    </xf>
    <xf numFmtId="181" fontId="81" fillId="34" borderId="10" xfId="42" applyNumberFormat="1" applyFont="1" applyFill="1" applyBorder="1" applyAlignment="1">
      <alignment horizontal="center" vertical="center" wrapText="1"/>
    </xf>
    <xf numFmtId="0" fontId="81" fillId="34" borderId="0" xfId="0" applyFont="1" applyFill="1" applyAlignment="1">
      <alignment horizontal="center" vertical="center"/>
    </xf>
    <xf numFmtId="181" fontId="81" fillId="34" borderId="10" xfId="42" applyNumberFormat="1" applyFont="1" applyFill="1" applyBorder="1" applyAlignment="1">
      <alignment vertical="center"/>
    </xf>
    <xf numFmtId="180" fontId="81" fillId="34" borderId="10" xfId="42" applyNumberFormat="1" applyFont="1" applyFill="1" applyBorder="1" applyAlignment="1">
      <alignment horizontal="center" vertical="center"/>
    </xf>
    <xf numFmtId="181" fontId="81" fillId="34" borderId="0" xfId="0" applyNumberFormat="1" applyFont="1" applyFill="1" applyAlignment="1">
      <alignment horizontal="center" vertical="center"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/>
    </xf>
    <xf numFmtId="180" fontId="81" fillId="34" borderId="10" xfId="42" applyNumberFormat="1" applyFont="1" applyFill="1" applyBorder="1" applyAlignment="1">
      <alignment horizontal="center"/>
    </xf>
    <xf numFmtId="181" fontId="81" fillId="34" borderId="0" xfId="0" applyNumberFormat="1" applyFont="1" applyFill="1" applyAlignment="1">
      <alignment/>
    </xf>
    <xf numFmtId="0" fontId="81" fillId="34" borderId="0" xfId="0" applyFont="1" applyFill="1" applyAlignment="1">
      <alignment/>
    </xf>
    <xf numFmtId="0" fontId="3" fillId="34" borderId="10" xfId="0" applyFont="1" applyFill="1" applyBorder="1" applyAlignment="1" quotePrefix="1">
      <alignment horizontal="center" vertical="center"/>
    </xf>
    <xf numFmtId="181" fontId="82" fillId="34" borderId="10" xfId="42" applyNumberFormat="1" applyFont="1" applyFill="1" applyBorder="1" applyAlignment="1">
      <alignment vertical="center"/>
    </xf>
    <xf numFmtId="0" fontId="82" fillId="34" borderId="10" xfId="42" applyNumberFormat="1" applyFont="1" applyFill="1" applyBorder="1" applyAlignment="1" quotePrefix="1">
      <alignment horizontal="center" vertical="center" wrapText="1"/>
    </xf>
    <xf numFmtId="181" fontId="82" fillId="34" borderId="0" xfId="0" applyNumberFormat="1" applyFont="1" applyFill="1" applyAlignment="1">
      <alignment/>
    </xf>
    <xf numFmtId="0" fontId="81" fillId="34" borderId="10" xfId="42" applyNumberFormat="1" applyFont="1" applyFill="1" applyBorder="1" applyAlignment="1" quotePrefix="1">
      <alignment horizontal="center" vertical="center" wrapText="1"/>
    </xf>
    <xf numFmtId="0" fontId="82" fillId="34" borderId="10" xfId="42" applyNumberFormat="1" applyFont="1" applyFill="1" applyBorder="1" applyAlignment="1">
      <alignment horizontal="center" vertical="center" wrapText="1"/>
    </xf>
    <xf numFmtId="181" fontId="81" fillId="34" borderId="10" xfId="42" applyNumberFormat="1" applyFont="1" applyFill="1" applyBorder="1" applyAlignment="1">
      <alignment horizontal="center" vertical="center" wrapText="1"/>
    </xf>
    <xf numFmtId="181" fontId="82" fillId="34" borderId="10" xfId="42" applyNumberFormat="1" applyFont="1" applyFill="1" applyBorder="1" applyAlignment="1">
      <alignment horizontal="center" vertical="center" wrapText="1"/>
    </xf>
    <xf numFmtId="180" fontId="82" fillId="34" borderId="10" xfId="42" applyNumberFormat="1" applyFont="1" applyFill="1" applyBorder="1" applyAlignment="1">
      <alignment horizontal="center" vertical="center"/>
    </xf>
    <xf numFmtId="181" fontId="82" fillId="34" borderId="0" xfId="0" applyNumberFormat="1" applyFont="1" applyFill="1" applyAlignment="1">
      <alignment horizontal="center" vertical="center"/>
    </xf>
    <xf numFmtId="0" fontId="82" fillId="34" borderId="0" xfId="0" applyFont="1" applyFill="1" applyAlignment="1">
      <alignment horizontal="center" vertical="center"/>
    </xf>
    <xf numFmtId="0" fontId="82" fillId="34" borderId="10" xfId="0" applyFont="1" applyFill="1" applyBorder="1" applyAlignment="1" quotePrefix="1">
      <alignment horizontal="center" vertical="center" wrapText="1"/>
    </xf>
    <xf numFmtId="0" fontId="82" fillId="34" borderId="10" xfId="0" applyFont="1" applyFill="1" applyBorder="1" applyAlignment="1">
      <alignment horizontal="left" vertical="center" wrapText="1"/>
    </xf>
    <xf numFmtId="0" fontId="81" fillId="34" borderId="10" xfId="0" applyFont="1" applyFill="1" applyBorder="1" applyAlignment="1">
      <alignment horizontal="left" vertical="center"/>
    </xf>
    <xf numFmtId="0" fontId="81" fillId="34" borderId="10" xfId="42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82" fillId="34" borderId="0" xfId="0" applyFont="1" applyFill="1" applyAlignment="1">
      <alignment horizontal="center"/>
    </xf>
    <xf numFmtId="0" fontId="81" fillId="34" borderId="12" xfId="0" applyFont="1" applyFill="1" applyBorder="1" applyAlignment="1">
      <alignment horizontal="center" vertical="center"/>
    </xf>
    <xf numFmtId="0" fontId="81" fillId="34" borderId="26" xfId="0" applyFont="1" applyFill="1" applyBorder="1" applyAlignment="1">
      <alignment horizontal="center" vertical="center"/>
    </xf>
    <xf numFmtId="181" fontId="82" fillId="34" borderId="11" xfId="42" applyNumberFormat="1" applyFont="1" applyFill="1" applyBorder="1" applyAlignment="1">
      <alignment horizontal="right" vertical="center"/>
    </xf>
    <xf numFmtId="181" fontId="81" fillId="34" borderId="10" xfId="42" applyNumberFormat="1" applyFont="1" applyFill="1" applyBorder="1" applyAlignment="1">
      <alignment horizontal="center" vertical="center" wrapText="1"/>
    </xf>
    <xf numFmtId="180" fontId="81" fillId="34" borderId="10" xfId="42" applyNumberFormat="1" applyFont="1" applyFill="1" applyBorder="1" applyAlignment="1">
      <alignment horizontal="center" vertical="center"/>
    </xf>
    <xf numFmtId="0" fontId="81" fillId="34" borderId="0" xfId="0" applyFont="1" applyFill="1" applyAlignment="1">
      <alignment horizontal="center"/>
    </xf>
    <xf numFmtId="0" fontId="83" fillId="34" borderId="0" xfId="0" applyFont="1" applyFill="1" applyAlignment="1">
      <alignment horizontal="center"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181" fontId="81" fillId="0" borderId="10" xfId="42" applyNumberFormat="1" applyFont="1" applyBorder="1" applyAlignment="1">
      <alignment horizontal="center" vertical="center" wrapText="1"/>
    </xf>
    <xf numFmtId="179" fontId="81" fillId="34" borderId="18" xfId="42" applyNumberFormat="1" applyFont="1" applyFill="1" applyBorder="1" applyAlignment="1">
      <alignment horizontal="center" vertical="center" wrapText="1"/>
    </xf>
    <xf numFmtId="179" fontId="81" fillId="34" borderId="24" xfId="42" applyNumberFormat="1" applyFont="1" applyFill="1" applyBorder="1" applyAlignment="1">
      <alignment horizontal="center" vertical="center" wrapText="1"/>
    </xf>
    <xf numFmtId="179" fontId="81" fillId="0" borderId="24" xfId="42" applyNumberFormat="1" applyFont="1" applyBorder="1" applyAlignment="1">
      <alignment horizontal="center" vertical="center" wrapText="1"/>
    </xf>
    <xf numFmtId="179" fontId="81" fillId="0" borderId="10" xfId="42" applyNumberFormat="1" applyFont="1" applyBorder="1" applyAlignment="1">
      <alignment horizontal="center" vertical="center" wrapText="1"/>
    </xf>
    <xf numFmtId="179" fontId="81" fillId="0" borderId="12" xfId="42" applyNumberFormat="1" applyFont="1" applyBorder="1" applyAlignment="1">
      <alignment horizontal="center" vertical="center"/>
    </xf>
    <xf numFmtId="179" fontId="81" fillId="0" borderId="27" xfId="42" applyNumberFormat="1" applyFont="1" applyBorder="1" applyAlignment="1">
      <alignment horizontal="center" vertical="center"/>
    </xf>
    <xf numFmtId="181" fontId="22" fillId="7" borderId="18" xfId="42" applyNumberFormat="1" applyFont="1" applyFill="1" applyBorder="1" applyAlignment="1">
      <alignment horizontal="center" vertical="center" wrapText="1"/>
    </xf>
    <xf numFmtId="181" fontId="22" fillId="7" borderId="15" xfId="42" applyNumberFormat="1" applyFont="1" applyFill="1" applyBorder="1" applyAlignment="1">
      <alignment horizontal="center" vertical="center" wrapText="1"/>
    </xf>
    <xf numFmtId="181" fontId="22" fillId="7" borderId="24" xfId="42" applyNumberFormat="1" applyFont="1" applyFill="1" applyBorder="1" applyAlignment="1">
      <alignment horizontal="center" vertical="center" wrapText="1"/>
    </xf>
    <xf numFmtId="179" fontId="22" fillId="7" borderId="12" xfId="47" applyNumberFormat="1" applyFont="1" applyFill="1" applyBorder="1" applyAlignment="1">
      <alignment horizontal="center"/>
    </xf>
    <xf numFmtId="179" fontId="22" fillId="7" borderId="27" xfId="47" applyNumberFormat="1" applyFont="1" applyFill="1" applyBorder="1" applyAlignment="1">
      <alignment horizontal="center"/>
    </xf>
    <xf numFmtId="179" fontId="22" fillId="7" borderId="27" xfId="47" applyNumberFormat="1" applyFont="1" applyFill="1" applyBorder="1" applyAlignment="1">
      <alignment horizontal="right"/>
    </xf>
    <xf numFmtId="179" fontId="22" fillId="7" borderId="26" xfId="47" applyNumberFormat="1" applyFont="1" applyFill="1" applyBorder="1" applyAlignment="1">
      <alignment horizontal="center"/>
    </xf>
    <xf numFmtId="179" fontId="22" fillId="7" borderId="18" xfId="47" applyNumberFormat="1" applyFont="1" applyFill="1" applyBorder="1" applyAlignment="1">
      <alignment horizontal="center" vertical="center" wrapText="1"/>
    </xf>
    <xf numFmtId="179" fontId="22" fillId="7" borderId="24" xfId="47" applyNumberFormat="1" applyFont="1" applyFill="1" applyBorder="1" applyAlignment="1">
      <alignment horizontal="center" vertical="center" wrapText="1"/>
    </xf>
    <xf numFmtId="179" fontId="22" fillId="7" borderId="24" xfId="47" applyNumberFormat="1" applyFont="1" applyFill="1" applyBorder="1" applyAlignment="1">
      <alignment horizontal="right" vertical="center" wrapText="1"/>
    </xf>
    <xf numFmtId="179" fontId="22" fillId="7" borderId="10" xfId="47" applyNumberFormat="1" applyFont="1" applyFill="1" applyBorder="1" applyAlignment="1">
      <alignment horizontal="right" vertical="center" wrapText="1"/>
    </xf>
    <xf numFmtId="179" fontId="22" fillId="7" borderId="10" xfId="47" applyNumberFormat="1" applyFont="1" applyFill="1" applyBorder="1" applyAlignment="1">
      <alignment horizontal="center" vertical="center" wrapText="1"/>
    </xf>
    <xf numFmtId="181" fontId="22" fillId="7" borderId="24" xfId="47" applyNumberFormat="1" applyFont="1" applyFill="1" applyBorder="1" applyAlignment="1">
      <alignment horizontal="center" vertical="center"/>
    </xf>
    <xf numFmtId="181" fontId="22" fillId="7" borderId="24" xfId="47" applyNumberFormat="1" applyFont="1" applyFill="1" applyBorder="1" applyAlignment="1">
      <alignment horizontal="right" vertical="center"/>
    </xf>
    <xf numFmtId="183" fontId="22" fillId="7" borderId="18" xfId="47" applyNumberFormat="1" applyFont="1" applyFill="1" applyBorder="1" applyAlignment="1">
      <alignment horizontal="center" vertical="center" wrapText="1"/>
    </xf>
    <xf numFmtId="183" fontId="22" fillId="7" borderId="15" xfId="47" applyNumberFormat="1" applyFont="1" applyFill="1" applyBorder="1" applyAlignment="1">
      <alignment horizontal="center" vertical="center" wrapText="1"/>
    </xf>
    <xf numFmtId="183" fontId="22" fillId="7" borderId="24" xfId="47" applyNumberFormat="1" applyFont="1" applyFill="1" applyBorder="1" applyAlignment="1">
      <alignment horizontal="center" vertical="center" wrapText="1"/>
    </xf>
    <xf numFmtId="179" fontId="81" fillId="0" borderId="18" xfId="42" applyNumberFormat="1" applyFont="1" applyBorder="1" applyAlignment="1">
      <alignment horizontal="center" vertical="center" wrapText="1"/>
    </xf>
    <xf numFmtId="179" fontId="81" fillId="0" borderId="15" xfId="42" applyNumberFormat="1" applyFont="1" applyBorder="1" applyAlignment="1">
      <alignment horizontal="center" vertical="center" wrapText="1"/>
    </xf>
    <xf numFmtId="179" fontId="81" fillId="0" borderId="12" xfId="42" applyNumberFormat="1" applyFont="1" applyBorder="1" applyAlignment="1">
      <alignment horizontal="center" vertical="center" wrapText="1"/>
    </xf>
    <xf numFmtId="179" fontId="81" fillId="0" borderId="10" xfId="42" applyNumberFormat="1" applyFont="1" applyBorder="1" applyAlignment="1">
      <alignment horizontal="center"/>
    </xf>
    <xf numFmtId="179" fontId="81" fillId="0" borderId="12" xfId="42" applyNumberFormat="1" applyFont="1" applyBorder="1" applyAlignment="1">
      <alignment horizontal="center"/>
    </xf>
    <xf numFmtId="0" fontId="8" fillId="0" borderId="0" xfId="61" applyFont="1" applyFill="1" applyAlignment="1">
      <alignment horizontal="center"/>
      <protection/>
    </xf>
    <xf numFmtId="179" fontId="8" fillId="0" borderId="0" xfId="61" applyNumberFormat="1" applyFont="1" applyFill="1" applyAlignment="1">
      <alignment horizontal="right"/>
      <protection/>
    </xf>
    <xf numFmtId="0" fontId="12" fillId="0" borderId="0" xfId="61" applyFont="1" applyFill="1" applyAlignment="1">
      <alignment horizontal="center"/>
      <protection/>
    </xf>
    <xf numFmtId="179" fontId="12" fillId="0" borderId="0" xfId="61" applyNumberFormat="1" applyFont="1" applyFill="1" applyAlignment="1">
      <alignment horizontal="right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72" fillId="34" borderId="17" xfId="0" applyFont="1" applyFill="1" applyBorder="1" applyAlignment="1">
      <alignment horizontal="center" vertical="center"/>
    </xf>
    <xf numFmtId="0" fontId="72" fillId="34" borderId="15" xfId="0" applyFont="1" applyFill="1" applyBorder="1" applyAlignment="1">
      <alignment horizontal="center" vertical="center"/>
    </xf>
    <xf numFmtId="0" fontId="72" fillId="34" borderId="25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left" vertical="center" wrapText="1"/>
    </xf>
    <xf numFmtId="0" fontId="72" fillId="34" borderId="15" xfId="0" applyFont="1" applyFill="1" applyBorder="1" applyAlignment="1">
      <alignment horizontal="left" vertical="center" wrapText="1"/>
    </xf>
    <xf numFmtId="0" fontId="72" fillId="34" borderId="25" xfId="0" applyFont="1" applyFill="1" applyBorder="1" applyAlignment="1">
      <alignment horizontal="left" vertical="center" wrapText="1"/>
    </xf>
    <xf numFmtId="0" fontId="72" fillId="34" borderId="17" xfId="0" applyFont="1" applyFill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0" fillId="0" borderId="25" xfId="0" applyFont="1" applyBorder="1" applyAlignment="1">
      <alignment horizontal="left" vertical="center" wrapText="1"/>
    </xf>
    <xf numFmtId="183" fontId="72" fillId="0" borderId="21" xfId="0" applyNumberFormat="1" applyFont="1" applyBorder="1" applyAlignment="1">
      <alignment horizontal="center" vertical="center"/>
    </xf>
    <xf numFmtId="183" fontId="72" fillId="0" borderId="0" xfId="0" applyNumberFormat="1" applyFont="1" applyAlignment="1">
      <alignment horizontal="center" vertical="center"/>
    </xf>
    <xf numFmtId="183" fontId="72" fillId="0" borderId="21" xfId="0" applyNumberFormat="1" applyFont="1" applyBorder="1" applyAlignment="1">
      <alignment horizontal="center"/>
    </xf>
    <xf numFmtId="183" fontId="72" fillId="0" borderId="0" xfId="0" applyNumberFormat="1" applyFont="1" applyAlignment="1">
      <alignment horizontal="center"/>
    </xf>
    <xf numFmtId="179" fontId="71" fillId="0" borderId="10" xfId="42" applyNumberFormat="1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1" fillId="0" borderId="18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24" xfId="0" applyFont="1" applyBorder="1" applyAlignment="1">
      <alignment horizontal="center" vertical="center"/>
    </xf>
    <xf numFmtId="179" fontId="71" fillId="0" borderId="18" xfId="42" applyNumberFormat="1" applyFont="1" applyBorder="1" applyAlignment="1">
      <alignment horizontal="center" vertical="center" wrapText="1"/>
    </xf>
    <xf numFmtId="179" fontId="71" fillId="0" borderId="15" xfId="42" applyNumberFormat="1" applyFont="1" applyBorder="1" applyAlignment="1">
      <alignment horizontal="center" vertical="center" wrapText="1"/>
    </xf>
    <xf numFmtId="179" fontId="71" fillId="0" borderId="24" xfId="42" applyNumberFormat="1" applyFont="1" applyBorder="1" applyAlignment="1">
      <alignment horizontal="center" vertical="center" wrapText="1"/>
    </xf>
    <xf numFmtId="179" fontId="71" fillId="0" borderId="10" xfId="42" applyNumberFormat="1" applyFont="1" applyBorder="1" applyAlignment="1">
      <alignment horizontal="center"/>
    </xf>
    <xf numFmtId="181" fontId="71" fillId="0" borderId="18" xfId="42" applyNumberFormat="1" applyFont="1" applyBorder="1" applyAlignment="1">
      <alignment horizontal="center" vertical="center" wrapText="1"/>
    </xf>
    <xf numFmtId="181" fontId="71" fillId="0" borderId="15" xfId="42" applyNumberFormat="1" applyFont="1" applyBorder="1" applyAlignment="1">
      <alignment horizontal="center" vertical="center" wrapText="1"/>
    </xf>
    <xf numFmtId="181" fontId="71" fillId="0" borderId="24" xfId="42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179" fontId="71" fillId="34" borderId="18" xfId="42" applyNumberFormat="1" applyFont="1" applyFill="1" applyBorder="1" applyAlignment="1">
      <alignment horizontal="center" vertical="center" wrapText="1"/>
    </xf>
    <xf numFmtId="179" fontId="71" fillId="34" borderId="24" xfId="42" applyNumberFormat="1" applyFont="1" applyFill="1" applyBorder="1" applyAlignment="1">
      <alignment horizontal="center" vertical="center" wrapText="1"/>
    </xf>
    <xf numFmtId="179" fontId="71" fillId="0" borderId="12" xfId="42" applyNumberFormat="1" applyFont="1" applyBorder="1" applyAlignment="1">
      <alignment horizontal="center" vertical="center"/>
    </xf>
    <xf numFmtId="179" fontId="71" fillId="0" borderId="27" xfId="42" applyNumberFormat="1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5" xfId="45"/>
    <cellStyle name="Comma 2 6 3" xfId="46"/>
    <cellStyle name="Comma 40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9" xfId="61"/>
    <cellStyle name="Normal 2 2 2" xfId="62"/>
    <cellStyle name="Normal 2 2 3" xfId="63"/>
    <cellStyle name="Normal 2 3" xfId="64"/>
    <cellStyle name="Normal 6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.12%20bi&#7875;u%20k&#232;m%20Q&#272;%20UB%20%20DT%20C&#272;%202021%20(1)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i&#7875;u%20k&#232;m%20C&#244;ng%20v&#259;n%20P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TC.%20Bi&#7875;u%20t&#7893;ng%20h&#7907;p%20b&#225;o%20c&#225;o%20nhu%20c&#7847;u%20ti&#7873;n%20l&#432;&#417;ng%20t&#259;ng%20th&#234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&#258;M%202021\NG&#194;N%20S&#193;CH\&#272;I&#7872;U%20CH&#7880;NH%20NHIEM%20VU%20CHI\TR&#204;NH%20H&#272;%20L1\TR&#204;NH%20H&#272;%20L1\Ch&#237;nh%20th&#7913;c\BI&#7874;U%20K&#200;M%20THEO%20T&#7900;%20TR&#204;NH%20P.TC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"/>
      <sheetName val="31"/>
      <sheetName val="32"/>
      <sheetName val="33"/>
      <sheetName val="34"/>
      <sheetName val="35"/>
      <sheetName val="36"/>
      <sheetName val="37"/>
      <sheetName val="39"/>
      <sheetName val="41"/>
      <sheetName val="42"/>
      <sheetName val="46TAM"/>
      <sheetName val="44"/>
      <sheetName val="47"/>
      <sheetName val="03"/>
      <sheetName val="04"/>
      <sheetName val="TH xã"/>
      <sheetName val="PB chi tiet cap huyenchi tiet 6"/>
      <sheetName val="sheeet2"/>
      <sheetName val="sheeet1"/>
      <sheetName val="sheeet TM"/>
      <sheetName val="sheeet138"/>
      <sheetName val="sheeet146TAM"/>
      <sheetName val="SHEET"/>
      <sheetName val="sheet 1"/>
      <sheetName val="sheet2"/>
      <sheetName val="gd"/>
    </sheetNames>
    <sheetDataSet>
      <sheetData sheetId="25">
        <row r="266">
          <cell r="Y266">
            <v>1114465000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òng Nông nghiệp"/>
      <sheetName val="Sheet2"/>
      <sheetName val="Sheet3"/>
      <sheetName val="Lương đầu năm"/>
      <sheetName val="Chi tiết"/>
      <sheetName val="Sheet1"/>
      <sheetName val="Sheet4"/>
    </sheetNames>
    <sheetDataSet>
      <sheetData sheetId="0">
        <row r="8">
          <cell r="I8">
            <v>876648554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01"/>
      <sheetName val="02"/>
      <sheetName val="Sheet1"/>
    </sheetNames>
    <sheetDataSet>
      <sheetData sheetId="1">
        <row r="140">
          <cell r="L140">
            <v>3692219.9999999995</v>
          </cell>
        </row>
        <row r="141">
          <cell r="L141">
            <v>4025980</v>
          </cell>
        </row>
        <row r="142">
          <cell r="L142">
            <v>22904279.999999996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 "/>
      <sheetName val="Sheet2"/>
      <sheetName val="Sheet3"/>
      <sheetName val="Lương đầu năm"/>
      <sheetName val="Chi tiết"/>
      <sheetName val="Sheet1"/>
      <sheetName val="Sheet4"/>
    </sheetNames>
    <sheetDataSet>
      <sheetData sheetId="4">
        <row r="46">
          <cell r="W46">
            <v>32717047.499999993</v>
          </cell>
        </row>
        <row r="47">
          <cell r="W47">
            <v>106361415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6"/>
  <sheetViews>
    <sheetView tabSelected="1" zoomScaleSheetLayoutView="55" zoomScalePageLayoutView="0" workbookViewId="0" topLeftCell="A1">
      <selection activeCell="E8" sqref="E8"/>
    </sheetView>
  </sheetViews>
  <sheetFormatPr defaultColWidth="9.140625" defaultRowHeight="15"/>
  <cols>
    <col min="1" max="1" width="6.140625" style="536" customWidth="1"/>
    <col min="2" max="2" width="44.00390625" style="503" customWidth="1"/>
    <col min="3" max="4" width="21.8515625" style="504" customWidth="1"/>
    <col min="5" max="5" width="15.8515625" style="505" customWidth="1"/>
    <col min="6" max="6" width="16.8515625" style="505" customWidth="1"/>
    <col min="7" max="7" width="20.00390625" style="505" customWidth="1"/>
    <col min="8" max="8" width="20.140625" style="505" customWidth="1"/>
    <col min="9" max="9" width="15.28125" style="506" customWidth="1"/>
    <col min="10" max="10" width="29.140625" style="503" hidden="1" customWidth="1"/>
    <col min="11" max="11" width="15.8515625" style="503" hidden="1" customWidth="1"/>
    <col min="12" max="12" width="15.28125" style="503" hidden="1" customWidth="1"/>
    <col min="13" max="13" width="14.00390625" style="503" hidden="1" customWidth="1"/>
    <col min="14" max="14" width="33.57421875" style="503" hidden="1" customWidth="1"/>
    <col min="15" max="16" width="0" style="503" hidden="1" customWidth="1"/>
    <col min="17" max="17" width="15.8515625" style="503" hidden="1" customWidth="1"/>
    <col min="18" max="18" width="12.8515625" style="503" bestFit="1" customWidth="1"/>
    <col min="19" max="16384" width="9.140625" style="503" customWidth="1"/>
  </cols>
  <sheetData>
    <row r="1" spans="1:9" ht="30" customHeight="1">
      <c r="A1" s="542" t="s">
        <v>317</v>
      </c>
      <c r="B1" s="542"/>
      <c r="C1" s="542"/>
      <c r="D1" s="542"/>
      <c r="E1" s="542"/>
      <c r="F1" s="542"/>
      <c r="G1" s="542"/>
      <c r="H1" s="542"/>
      <c r="I1" s="542"/>
    </row>
    <row r="2" spans="1:9" ht="17.25" customHeight="1">
      <c r="A2" s="543" t="s">
        <v>351</v>
      </c>
      <c r="B2" s="543"/>
      <c r="C2" s="543"/>
      <c r="D2" s="543"/>
      <c r="E2" s="543"/>
      <c r="F2" s="543"/>
      <c r="G2" s="543"/>
      <c r="H2" s="543"/>
      <c r="I2" s="543"/>
    </row>
    <row r="3" spans="6:9" ht="23.25" customHeight="1">
      <c r="F3" s="539" t="s">
        <v>14</v>
      </c>
      <c r="G3" s="539"/>
      <c r="H3" s="539"/>
      <c r="I3" s="539"/>
    </row>
    <row r="4" spans="1:9" ht="20.25" customHeight="1">
      <c r="A4" s="544" t="s">
        <v>0</v>
      </c>
      <c r="B4" s="545" t="s">
        <v>1</v>
      </c>
      <c r="C4" s="544" t="s">
        <v>331</v>
      </c>
      <c r="D4" s="544" t="s">
        <v>348</v>
      </c>
      <c r="E4" s="540" t="s">
        <v>10</v>
      </c>
      <c r="F4" s="540"/>
      <c r="G4" s="540" t="s">
        <v>321</v>
      </c>
      <c r="H4" s="540" t="s">
        <v>330</v>
      </c>
      <c r="I4" s="541" t="s">
        <v>2</v>
      </c>
    </row>
    <row r="5" spans="1:9" s="508" customFormat="1" ht="47.25" customHeight="1">
      <c r="A5" s="544"/>
      <c r="B5" s="545"/>
      <c r="C5" s="544"/>
      <c r="D5" s="544"/>
      <c r="E5" s="507" t="s">
        <v>11</v>
      </c>
      <c r="F5" s="507" t="s">
        <v>12</v>
      </c>
      <c r="G5" s="540"/>
      <c r="H5" s="540"/>
      <c r="I5" s="541"/>
    </row>
    <row r="6" spans="1:11" s="508" customFormat="1" ht="15.75">
      <c r="A6" s="537" t="s">
        <v>349</v>
      </c>
      <c r="B6" s="538"/>
      <c r="C6" s="507">
        <f aca="true" t="shared" si="0" ref="C6:H6">C7+C23</f>
        <v>15225152269</v>
      </c>
      <c r="D6" s="524">
        <f t="shared" si="0"/>
        <v>13092372731</v>
      </c>
      <c r="E6" s="524">
        <f t="shared" si="0"/>
        <v>2136408568</v>
      </c>
      <c r="F6" s="524">
        <f t="shared" si="0"/>
        <v>2136408568</v>
      </c>
      <c r="G6" s="524">
        <f t="shared" si="0"/>
        <v>2132779537.9999995</v>
      </c>
      <c r="H6" s="524">
        <f t="shared" si="0"/>
        <v>13092372731</v>
      </c>
      <c r="I6" s="510"/>
      <c r="J6" s="511"/>
      <c r="K6" s="511"/>
    </row>
    <row r="7" spans="1:11" s="508" customFormat="1" ht="15.75">
      <c r="A7" s="512" t="s">
        <v>310</v>
      </c>
      <c r="B7" s="531" t="s">
        <v>341</v>
      </c>
      <c r="C7" s="524">
        <f aca="true" t="shared" si="1" ref="C7:H7">C8+C15+C19</f>
        <v>5433338740</v>
      </c>
      <c r="D7" s="524">
        <f t="shared" si="1"/>
        <v>5433338740</v>
      </c>
      <c r="E7" s="524">
        <f t="shared" si="1"/>
        <v>1232831642</v>
      </c>
      <c r="F7" s="524">
        <f t="shared" si="1"/>
        <v>1232831642</v>
      </c>
      <c r="G7" s="524">
        <f t="shared" si="1"/>
        <v>0</v>
      </c>
      <c r="H7" s="524">
        <f t="shared" si="1"/>
        <v>5433338740</v>
      </c>
      <c r="I7" s="510"/>
      <c r="J7" s="511"/>
      <c r="K7" s="511"/>
    </row>
    <row r="8" spans="1:11" s="508" customFormat="1" ht="47.25">
      <c r="A8" s="512" t="s">
        <v>3</v>
      </c>
      <c r="B8" s="513" t="s">
        <v>350</v>
      </c>
      <c r="C8" s="524">
        <f aca="true" t="shared" si="2" ref="C8:H8">C9</f>
        <v>1342000000</v>
      </c>
      <c r="D8" s="524">
        <f t="shared" si="2"/>
        <v>1342000000</v>
      </c>
      <c r="E8" s="524">
        <f t="shared" si="2"/>
        <v>228000000</v>
      </c>
      <c r="F8" s="524">
        <f t="shared" si="2"/>
        <v>228000000</v>
      </c>
      <c r="G8" s="524">
        <f t="shared" si="2"/>
        <v>0</v>
      </c>
      <c r="H8" s="524">
        <f t="shared" si="2"/>
        <v>1342000000</v>
      </c>
      <c r="I8" s="510"/>
      <c r="J8" s="511"/>
      <c r="K8" s="511"/>
    </row>
    <row r="9" spans="1:11" s="508" customFormat="1" ht="15.75">
      <c r="A9" s="512">
        <v>1</v>
      </c>
      <c r="B9" s="513" t="s">
        <v>318</v>
      </c>
      <c r="C9" s="524">
        <f aca="true" t="shared" si="3" ref="C9:H9">SUM(C10:C14)</f>
        <v>1342000000</v>
      </c>
      <c r="D9" s="524">
        <f t="shared" si="3"/>
        <v>1342000000</v>
      </c>
      <c r="E9" s="524">
        <f t="shared" si="3"/>
        <v>228000000</v>
      </c>
      <c r="F9" s="524">
        <f t="shared" si="3"/>
        <v>228000000</v>
      </c>
      <c r="G9" s="524">
        <f t="shared" si="3"/>
        <v>0</v>
      </c>
      <c r="H9" s="524">
        <f t="shared" si="3"/>
        <v>1342000000</v>
      </c>
      <c r="I9" s="510"/>
      <c r="J9" s="511"/>
      <c r="K9" s="511"/>
    </row>
    <row r="10" spans="1:11" s="528" customFormat="1" ht="31.5">
      <c r="A10" s="529" t="s">
        <v>312</v>
      </c>
      <c r="B10" s="530" t="s">
        <v>333</v>
      </c>
      <c r="C10" s="525">
        <v>100000000</v>
      </c>
      <c r="D10" s="525">
        <f>C10-F10</f>
        <v>88000000</v>
      </c>
      <c r="E10" s="525"/>
      <c r="F10" s="525">
        <v>12000000</v>
      </c>
      <c r="G10" s="525"/>
      <c r="H10" s="525">
        <f>D10</f>
        <v>88000000</v>
      </c>
      <c r="I10" s="526"/>
      <c r="J10" s="527"/>
      <c r="K10" s="527"/>
    </row>
    <row r="11" spans="1:11" s="528" customFormat="1" ht="15.75">
      <c r="A11" s="529" t="s">
        <v>312</v>
      </c>
      <c r="B11" s="530" t="s">
        <v>334</v>
      </c>
      <c r="C11" s="525">
        <v>200000000</v>
      </c>
      <c r="D11" s="525">
        <f>C11-F11</f>
        <v>129000000</v>
      </c>
      <c r="E11" s="525"/>
      <c r="F11" s="525">
        <v>71000000</v>
      </c>
      <c r="G11" s="525"/>
      <c r="H11" s="525">
        <f>D11</f>
        <v>129000000</v>
      </c>
      <c r="I11" s="526"/>
      <c r="J11" s="527"/>
      <c r="K11" s="527"/>
    </row>
    <row r="12" spans="1:11" s="528" customFormat="1" ht="15.75">
      <c r="A12" s="529" t="s">
        <v>312</v>
      </c>
      <c r="B12" s="530" t="s">
        <v>335</v>
      </c>
      <c r="C12" s="525">
        <v>200000000</v>
      </c>
      <c r="D12" s="525">
        <f>C12-F12</f>
        <v>127000000</v>
      </c>
      <c r="E12" s="525"/>
      <c r="F12" s="525">
        <v>73000000</v>
      </c>
      <c r="G12" s="525"/>
      <c r="H12" s="525">
        <f>D12</f>
        <v>127000000</v>
      </c>
      <c r="I12" s="526"/>
      <c r="J12" s="527"/>
      <c r="K12" s="527"/>
    </row>
    <row r="13" spans="1:11" s="528" customFormat="1" ht="15.75">
      <c r="A13" s="529" t="s">
        <v>312</v>
      </c>
      <c r="B13" s="530" t="s">
        <v>336</v>
      </c>
      <c r="C13" s="525">
        <v>200000000</v>
      </c>
      <c r="D13" s="525">
        <f>C13-F13</f>
        <v>128000000</v>
      </c>
      <c r="E13" s="525"/>
      <c r="F13" s="525">
        <v>72000000</v>
      </c>
      <c r="G13" s="525"/>
      <c r="H13" s="525">
        <f>D13</f>
        <v>128000000</v>
      </c>
      <c r="I13" s="526"/>
      <c r="J13" s="527"/>
      <c r="K13" s="527"/>
    </row>
    <row r="14" spans="1:11" s="528" customFormat="1" ht="15.75">
      <c r="A14" s="529" t="s">
        <v>312</v>
      </c>
      <c r="B14" s="530" t="s">
        <v>337</v>
      </c>
      <c r="C14" s="525">
        <f>200000000+442000000</f>
        <v>642000000</v>
      </c>
      <c r="D14" s="525">
        <f>C14+E14</f>
        <v>870000000</v>
      </c>
      <c r="E14" s="525">
        <v>228000000</v>
      </c>
      <c r="F14" s="525"/>
      <c r="G14" s="525"/>
      <c r="H14" s="525">
        <f>E14+C14</f>
        <v>870000000</v>
      </c>
      <c r="I14" s="526"/>
      <c r="J14" s="527"/>
      <c r="K14" s="527"/>
    </row>
    <row r="15" spans="1:11" s="508" customFormat="1" ht="31.5">
      <c r="A15" s="512" t="s">
        <v>5</v>
      </c>
      <c r="B15" s="513" t="s">
        <v>338</v>
      </c>
      <c r="C15" s="524">
        <f aca="true" t="shared" si="4" ref="C15:H15">C16</f>
        <v>2630000000</v>
      </c>
      <c r="D15" s="524">
        <f t="shared" si="4"/>
        <v>2630000000</v>
      </c>
      <c r="E15" s="524">
        <f t="shared" si="4"/>
        <v>279000000</v>
      </c>
      <c r="F15" s="524">
        <f t="shared" si="4"/>
        <v>279000000</v>
      </c>
      <c r="G15" s="524">
        <f t="shared" si="4"/>
        <v>0</v>
      </c>
      <c r="H15" s="524">
        <f t="shared" si="4"/>
        <v>2630000000</v>
      </c>
      <c r="I15" s="510"/>
      <c r="J15" s="511"/>
      <c r="K15" s="511"/>
    </row>
    <row r="16" spans="1:11" s="508" customFormat="1" ht="15.75">
      <c r="A16" s="512">
        <v>1</v>
      </c>
      <c r="B16" s="513" t="s">
        <v>318</v>
      </c>
      <c r="C16" s="524">
        <f aca="true" t="shared" si="5" ref="C16:H16">C17+C18</f>
        <v>2630000000</v>
      </c>
      <c r="D16" s="524">
        <f t="shared" si="5"/>
        <v>2630000000</v>
      </c>
      <c r="E16" s="524">
        <f t="shared" si="5"/>
        <v>279000000</v>
      </c>
      <c r="F16" s="524">
        <f t="shared" si="5"/>
        <v>279000000</v>
      </c>
      <c r="G16" s="524">
        <f t="shared" si="5"/>
        <v>0</v>
      </c>
      <c r="H16" s="524">
        <f t="shared" si="5"/>
        <v>2630000000</v>
      </c>
      <c r="I16" s="510"/>
      <c r="J16" s="511"/>
      <c r="K16" s="511"/>
    </row>
    <row r="17" spans="1:11" s="528" customFormat="1" ht="31.5">
      <c r="A17" s="529" t="s">
        <v>312</v>
      </c>
      <c r="B17" s="530" t="s">
        <v>339</v>
      </c>
      <c r="C17" s="525">
        <v>500000000</v>
      </c>
      <c r="D17" s="525">
        <f>H17</f>
        <v>221000000</v>
      </c>
      <c r="E17" s="525"/>
      <c r="F17" s="525">
        <v>279000000</v>
      </c>
      <c r="G17" s="525"/>
      <c r="H17" s="525">
        <f>C17-F17</f>
        <v>221000000</v>
      </c>
      <c r="I17" s="526"/>
      <c r="J17" s="527"/>
      <c r="K17" s="527"/>
    </row>
    <row r="18" spans="1:11" s="528" customFormat="1" ht="31.5">
      <c r="A18" s="529" t="s">
        <v>312</v>
      </c>
      <c r="B18" s="530" t="s">
        <v>340</v>
      </c>
      <c r="C18" s="525">
        <v>2130000000</v>
      </c>
      <c r="D18" s="525">
        <f>H18</f>
        <v>2409000000</v>
      </c>
      <c r="E18" s="525">
        <v>279000000</v>
      </c>
      <c r="F18" s="525"/>
      <c r="G18" s="525"/>
      <c r="H18" s="525">
        <f>C18+E18</f>
        <v>2409000000</v>
      </c>
      <c r="I18" s="526"/>
      <c r="J18" s="527"/>
      <c r="K18" s="527"/>
    </row>
    <row r="19" spans="1:17" s="517" customFormat="1" ht="46.5" customHeight="1">
      <c r="A19" s="514" t="s">
        <v>6</v>
      </c>
      <c r="B19" s="534" t="s">
        <v>345</v>
      </c>
      <c r="C19" s="509">
        <f aca="true" t="shared" si="6" ref="C19:H19">C20</f>
        <v>1461338740</v>
      </c>
      <c r="D19" s="509">
        <f t="shared" si="6"/>
        <v>1461338740</v>
      </c>
      <c r="E19" s="509">
        <f t="shared" si="6"/>
        <v>725831642</v>
      </c>
      <c r="F19" s="509">
        <f t="shared" si="6"/>
        <v>725831642</v>
      </c>
      <c r="G19" s="509">
        <f t="shared" si="6"/>
        <v>0</v>
      </c>
      <c r="H19" s="509">
        <f t="shared" si="6"/>
        <v>1461338740</v>
      </c>
      <c r="I19" s="522"/>
      <c r="J19" s="516"/>
      <c r="K19" s="516"/>
      <c r="Q19" s="516"/>
    </row>
    <row r="20" spans="1:17" s="517" customFormat="1" ht="18.75" customHeight="1">
      <c r="A20" s="514">
        <v>1</v>
      </c>
      <c r="B20" s="534" t="s">
        <v>318</v>
      </c>
      <c r="C20" s="509">
        <f aca="true" t="shared" si="7" ref="C20:H20">C21+C22</f>
        <v>1461338740</v>
      </c>
      <c r="D20" s="509">
        <f t="shared" si="7"/>
        <v>1461338740</v>
      </c>
      <c r="E20" s="509">
        <f t="shared" si="7"/>
        <v>725831642</v>
      </c>
      <c r="F20" s="509">
        <f t="shared" si="7"/>
        <v>725831642</v>
      </c>
      <c r="G20" s="509">
        <f t="shared" si="7"/>
        <v>0</v>
      </c>
      <c r="H20" s="509">
        <f t="shared" si="7"/>
        <v>1461338740</v>
      </c>
      <c r="I20" s="522"/>
      <c r="J20" s="516"/>
      <c r="K20" s="516"/>
      <c r="Q20" s="516"/>
    </row>
    <row r="21" spans="1:17" ht="31.5">
      <c r="A21" s="518" t="s">
        <v>312</v>
      </c>
      <c r="B21" s="535" t="s">
        <v>346</v>
      </c>
      <c r="C21" s="519">
        <v>1461338740</v>
      </c>
      <c r="D21" s="519">
        <f>C21-F21</f>
        <v>735507098</v>
      </c>
      <c r="E21" s="519"/>
      <c r="F21" s="519">
        <v>725831642</v>
      </c>
      <c r="G21" s="519"/>
      <c r="H21" s="519">
        <f>D21</f>
        <v>735507098</v>
      </c>
      <c r="I21" s="523" t="s">
        <v>347</v>
      </c>
      <c r="J21" s="521"/>
      <c r="K21" s="521"/>
      <c r="Q21" s="521"/>
    </row>
    <row r="22" spans="1:17" ht="15.75">
      <c r="A22" s="518" t="s">
        <v>312</v>
      </c>
      <c r="B22" s="535" t="s">
        <v>337</v>
      </c>
      <c r="C22" s="519">
        <v>0</v>
      </c>
      <c r="D22" s="519">
        <f>E22</f>
        <v>725831642</v>
      </c>
      <c r="E22" s="519">
        <f>F21</f>
        <v>725831642</v>
      </c>
      <c r="F22" s="519"/>
      <c r="G22" s="519"/>
      <c r="H22" s="519">
        <f>D22</f>
        <v>725831642</v>
      </c>
      <c r="I22" s="523"/>
      <c r="J22" s="521"/>
      <c r="K22" s="521"/>
      <c r="Q22" s="521"/>
    </row>
    <row r="23" spans="1:17" s="517" customFormat="1" ht="36" customHeight="1">
      <c r="A23" s="514" t="s">
        <v>311</v>
      </c>
      <c r="B23" s="534" t="s">
        <v>342</v>
      </c>
      <c r="C23" s="509">
        <f aca="true" t="shared" si="8" ref="C23:H23">C24+C28+C31</f>
        <v>9791813529</v>
      </c>
      <c r="D23" s="509">
        <f t="shared" si="8"/>
        <v>7659033991</v>
      </c>
      <c r="E23" s="509">
        <f t="shared" si="8"/>
        <v>903576926</v>
      </c>
      <c r="F23" s="509">
        <f t="shared" si="8"/>
        <v>903576926</v>
      </c>
      <c r="G23" s="509">
        <f t="shared" si="8"/>
        <v>2132779537.9999995</v>
      </c>
      <c r="H23" s="509">
        <f t="shared" si="8"/>
        <v>7659033991</v>
      </c>
      <c r="I23" s="532"/>
      <c r="J23" s="516"/>
      <c r="K23" s="516"/>
      <c r="Q23" s="516"/>
    </row>
    <row r="24" spans="1:11" s="508" customFormat="1" ht="31.5">
      <c r="A24" s="512" t="s">
        <v>3</v>
      </c>
      <c r="B24" s="513" t="s">
        <v>343</v>
      </c>
      <c r="C24" s="507">
        <f aca="true" t="shared" si="9" ref="C24:H24">C25</f>
        <v>2903456000</v>
      </c>
      <c r="D24" s="507">
        <f t="shared" si="9"/>
        <v>2903456000</v>
      </c>
      <c r="E24" s="507">
        <f t="shared" si="9"/>
        <v>903576926</v>
      </c>
      <c r="F24" s="507">
        <f t="shared" si="9"/>
        <v>903576926</v>
      </c>
      <c r="G24" s="507">
        <f t="shared" si="9"/>
        <v>0</v>
      </c>
      <c r="H24" s="507">
        <f t="shared" si="9"/>
        <v>2903456000</v>
      </c>
      <c r="I24" s="510"/>
      <c r="J24" s="511"/>
      <c r="K24" s="511"/>
    </row>
    <row r="25" spans="1:11" s="517" customFormat="1" ht="19.5" customHeight="1">
      <c r="A25" s="514">
        <v>1</v>
      </c>
      <c r="B25" s="533" t="s">
        <v>318</v>
      </c>
      <c r="C25" s="509">
        <f>C26+C27</f>
        <v>2903456000</v>
      </c>
      <c r="D25" s="509">
        <f>D26+D27</f>
        <v>2903456000</v>
      </c>
      <c r="E25" s="509">
        <f>E26+E27</f>
        <v>903576926</v>
      </c>
      <c r="F25" s="509">
        <f>F26+F27</f>
        <v>903576926</v>
      </c>
      <c r="G25" s="509"/>
      <c r="H25" s="509">
        <f>H26+H27</f>
        <v>2903456000</v>
      </c>
      <c r="I25" s="515"/>
      <c r="J25" s="516"/>
      <c r="K25" s="516"/>
    </row>
    <row r="26" spans="1:17" ht="46.5" customHeight="1">
      <c r="A26" s="518" t="s">
        <v>312</v>
      </c>
      <c r="B26" s="535" t="s">
        <v>319</v>
      </c>
      <c r="C26" s="519">
        <v>2903456000</v>
      </c>
      <c r="D26" s="519">
        <f>C26-F26</f>
        <v>1999879074</v>
      </c>
      <c r="E26" s="519"/>
      <c r="F26" s="519">
        <v>903576926</v>
      </c>
      <c r="G26" s="519"/>
      <c r="H26" s="519">
        <f>D26</f>
        <v>1999879074</v>
      </c>
      <c r="I26" s="520"/>
      <c r="J26" s="521"/>
      <c r="K26" s="521"/>
      <c r="Q26" s="521" t="e">
        <f>+#REF!-F26</f>
        <v>#REF!</v>
      </c>
    </row>
    <row r="27" spans="1:17" ht="46.5" customHeight="1">
      <c r="A27" s="518" t="s">
        <v>312</v>
      </c>
      <c r="B27" s="535" t="s">
        <v>320</v>
      </c>
      <c r="C27" s="519"/>
      <c r="D27" s="519">
        <f>E27</f>
        <v>903576926</v>
      </c>
      <c r="E27" s="519">
        <f>F26</f>
        <v>903576926</v>
      </c>
      <c r="F27" s="519"/>
      <c r="G27" s="519"/>
      <c r="H27" s="519">
        <f>E27</f>
        <v>903576926</v>
      </c>
      <c r="I27" s="520"/>
      <c r="J27" s="521"/>
      <c r="K27" s="521"/>
      <c r="Q27" s="521"/>
    </row>
    <row r="28" spans="1:17" s="517" customFormat="1" ht="46.5" customHeight="1">
      <c r="A28" s="514" t="s">
        <v>5</v>
      </c>
      <c r="B28" s="534" t="s">
        <v>344</v>
      </c>
      <c r="C28" s="509">
        <f aca="true" t="shared" si="10" ref="C28:H29">C29</f>
        <v>1080000000</v>
      </c>
      <c r="D28" s="509">
        <f t="shared" si="10"/>
        <v>1057936000.0000001</v>
      </c>
      <c r="E28" s="509">
        <f t="shared" si="10"/>
        <v>0</v>
      </c>
      <c r="F28" s="509">
        <f t="shared" si="10"/>
        <v>0</v>
      </c>
      <c r="G28" s="509">
        <f t="shared" si="10"/>
        <v>22063999.99999988</v>
      </c>
      <c r="H28" s="509">
        <f t="shared" si="10"/>
        <v>1057936000.0000001</v>
      </c>
      <c r="I28" s="522"/>
      <c r="J28" s="516"/>
      <c r="K28" s="516"/>
      <c r="Q28" s="516"/>
    </row>
    <row r="29" spans="1:17" s="517" customFormat="1" ht="22.5" customHeight="1">
      <c r="A29" s="514">
        <v>1</v>
      </c>
      <c r="B29" s="534" t="s">
        <v>318</v>
      </c>
      <c r="C29" s="509">
        <f t="shared" si="10"/>
        <v>1080000000</v>
      </c>
      <c r="D29" s="509">
        <f t="shared" si="10"/>
        <v>1057936000.0000001</v>
      </c>
      <c r="E29" s="509">
        <f t="shared" si="10"/>
        <v>0</v>
      </c>
      <c r="F29" s="509">
        <f t="shared" si="10"/>
        <v>0</v>
      </c>
      <c r="G29" s="509">
        <f t="shared" si="10"/>
        <v>22063999.99999988</v>
      </c>
      <c r="H29" s="509">
        <f t="shared" si="10"/>
        <v>1057936000.0000001</v>
      </c>
      <c r="I29" s="522"/>
      <c r="J29" s="516"/>
      <c r="K29" s="516"/>
      <c r="Q29" s="516"/>
    </row>
    <row r="30" spans="1:17" ht="46.5" customHeight="1">
      <c r="A30" s="518" t="s">
        <v>312</v>
      </c>
      <c r="B30" s="535" t="s">
        <v>322</v>
      </c>
      <c r="C30" s="519">
        <v>1080000000</v>
      </c>
      <c r="D30" s="519">
        <f>C30-G30</f>
        <v>1057936000.0000001</v>
      </c>
      <c r="E30" s="519"/>
      <c r="F30" s="519"/>
      <c r="G30" s="519">
        <v>22063999.99999988</v>
      </c>
      <c r="H30" s="519">
        <f>D30</f>
        <v>1057936000.0000001</v>
      </c>
      <c r="I30" s="523" t="s">
        <v>323</v>
      </c>
      <c r="J30" s="521"/>
      <c r="K30" s="521"/>
      <c r="Q30" s="521"/>
    </row>
    <row r="31" spans="1:17" s="517" customFormat="1" ht="46.5" customHeight="1">
      <c r="A31" s="514" t="s">
        <v>6</v>
      </c>
      <c r="B31" s="534" t="s">
        <v>345</v>
      </c>
      <c r="C31" s="509">
        <f aca="true" t="shared" si="11" ref="C31:H31">C33+C34+C35+C36</f>
        <v>5808357529</v>
      </c>
      <c r="D31" s="509">
        <f t="shared" si="11"/>
        <v>3697641991.0000005</v>
      </c>
      <c r="E31" s="509">
        <f t="shared" si="11"/>
        <v>0</v>
      </c>
      <c r="F31" s="509">
        <f t="shared" si="11"/>
        <v>0</v>
      </c>
      <c r="G31" s="509">
        <f t="shared" si="11"/>
        <v>2110715537.9999995</v>
      </c>
      <c r="H31" s="509">
        <f t="shared" si="11"/>
        <v>3697641991.0000005</v>
      </c>
      <c r="I31" s="522"/>
      <c r="J31" s="516"/>
      <c r="K31" s="516"/>
      <c r="Q31" s="516"/>
    </row>
    <row r="32" spans="1:17" s="517" customFormat="1" ht="18.75" customHeight="1">
      <c r="A32" s="514">
        <v>1</v>
      </c>
      <c r="B32" s="534" t="s">
        <v>318</v>
      </c>
      <c r="C32" s="509">
        <f aca="true" t="shared" si="12" ref="C32:H32">C33+C34+C35+C36</f>
        <v>5808357529</v>
      </c>
      <c r="D32" s="509">
        <f t="shared" si="12"/>
        <v>3697641991.0000005</v>
      </c>
      <c r="E32" s="509">
        <f t="shared" si="12"/>
        <v>0</v>
      </c>
      <c r="F32" s="509">
        <f t="shared" si="12"/>
        <v>0</v>
      </c>
      <c r="G32" s="509">
        <f t="shared" si="12"/>
        <v>2110715537.9999995</v>
      </c>
      <c r="H32" s="509">
        <f t="shared" si="12"/>
        <v>3697641991.0000005</v>
      </c>
      <c r="I32" s="522"/>
      <c r="J32" s="516"/>
      <c r="K32" s="516"/>
      <c r="Q32" s="516"/>
    </row>
    <row r="33" spans="1:17" ht="75" customHeight="1">
      <c r="A33" s="518" t="s">
        <v>312</v>
      </c>
      <c r="B33" s="535" t="s">
        <v>332</v>
      </c>
      <c r="C33" s="519">
        <v>2935343412</v>
      </c>
      <c r="D33" s="519">
        <f>C33-G33</f>
        <v>1165706991</v>
      </c>
      <c r="E33" s="519"/>
      <c r="F33" s="519"/>
      <c r="G33" s="519">
        <v>1769636421</v>
      </c>
      <c r="H33" s="519">
        <f>D33</f>
        <v>1165706991</v>
      </c>
      <c r="I33" s="523" t="s">
        <v>324</v>
      </c>
      <c r="J33" s="521"/>
      <c r="K33" s="521"/>
      <c r="Q33" s="521"/>
    </row>
    <row r="34" spans="1:17" ht="31.5">
      <c r="A34" s="518" t="s">
        <v>312</v>
      </c>
      <c r="B34" s="535" t="s">
        <v>325</v>
      </c>
      <c r="C34" s="519">
        <v>2673014117</v>
      </c>
      <c r="D34" s="519">
        <f>C34-G34</f>
        <v>2531935000.0000005</v>
      </c>
      <c r="E34" s="519"/>
      <c r="F34" s="519"/>
      <c r="G34" s="519">
        <v>141079116.99999952</v>
      </c>
      <c r="H34" s="519">
        <f>D34</f>
        <v>2531935000.0000005</v>
      </c>
      <c r="I34" s="523" t="s">
        <v>326</v>
      </c>
      <c r="J34" s="521"/>
      <c r="K34" s="521"/>
      <c r="Q34" s="521"/>
    </row>
    <row r="35" spans="1:17" ht="47.25">
      <c r="A35" s="518" t="s">
        <v>312</v>
      </c>
      <c r="B35" s="535" t="s">
        <v>327</v>
      </c>
      <c r="C35" s="519">
        <v>100000000</v>
      </c>
      <c r="D35" s="519"/>
      <c r="E35" s="519"/>
      <c r="F35" s="519"/>
      <c r="G35" s="519">
        <v>100000000</v>
      </c>
      <c r="H35" s="519"/>
      <c r="I35" s="523" t="s">
        <v>329</v>
      </c>
      <c r="J35" s="521"/>
      <c r="K35" s="521"/>
      <c r="Q35" s="521"/>
    </row>
    <row r="36" spans="1:17" ht="47.25">
      <c r="A36" s="518" t="s">
        <v>312</v>
      </c>
      <c r="B36" s="535" t="s">
        <v>328</v>
      </c>
      <c r="C36" s="519">
        <v>100000000</v>
      </c>
      <c r="D36" s="519"/>
      <c r="E36" s="519"/>
      <c r="F36" s="519"/>
      <c r="G36" s="519">
        <v>100000000</v>
      </c>
      <c r="H36" s="519"/>
      <c r="I36" s="523" t="s">
        <v>329</v>
      </c>
      <c r="J36" s="521"/>
      <c r="K36" s="521"/>
      <c r="Q36" s="521"/>
    </row>
  </sheetData>
  <sheetProtection/>
  <mergeCells count="12">
    <mergeCell ref="D4:D5"/>
    <mergeCell ref="G4:G5"/>
    <mergeCell ref="A6:B6"/>
    <mergeCell ref="F3:I3"/>
    <mergeCell ref="E4:F4"/>
    <mergeCell ref="H4:H5"/>
    <mergeCell ref="I4:I5"/>
    <mergeCell ref="A1:I1"/>
    <mergeCell ref="A2:I2"/>
    <mergeCell ref="A4:A5"/>
    <mergeCell ref="B4:B5"/>
    <mergeCell ref="C4:C5"/>
  </mergeCells>
  <printOptions/>
  <pageMargins left="0.590551181102362" right="0" top="0.748031496062992" bottom="0.748031496062992" header="0.31496062992126" footer="0.31496062992126"/>
  <pageSetup horizontalDpi="600" verticalDpi="600" orientation="landscape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03"/>
  <sheetViews>
    <sheetView zoomScale="80" zoomScaleNormal="80" zoomScalePageLayoutView="0" workbookViewId="0" topLeftCell="A28">
      <selection activeCell="B60" sqref="B60"/>
    </sheetView>
  </sheetViews>
  <sheetFormatPr defaultColWidth="9.140625" defaultRowHeight="15"/>
  <cols>
    <col min="1" max="1" width="8.00390625" style="0" customWidth="1"/>
    <col min="2" max="2" width="25.8515625" style="0" customWidth="1"/>
    <col min="3" max="3" width="5.7109375" style="424" customWidth="1"/>
    <col min="4" max="4" width="4.28125" style="424" customWidth="1"/>
    <col min="5" max="5" width="9.7109375" style="249" customWidth="1"/>
    <col min="6" max="7" width="9.140625" style="249" customWidth="1"/>
    <col min="8" max="8" width="7.28125" style="249" customWidth="1"/>
    <col min="9" max="9" width="9.140625" style="249" customWidth="1"/>
    <col min="10" max="10" width="7.8515625" style="249" customWidth="1"/>
    <col min="11" max="11" width="7.28125" style="249" customWidth="1"/>
    <col min="12" max="12" width="0" style="249" hidden="1" customWidth="1"/>
    <col min="13" max="13" width="6.421875" style="249" customWidth="1"/>
    <col min="14" max="14" width="0" style="249" hidden="1" customWidth="1"/>
    <col min="15" max="15" width="9.140625" style="249" customWidth="1"/>
    <col min="16" max="19" width="0" style="249" hidden="1" customWidth="1"/>
    <col min="20" max="24" width="9.140625" style="249" customWidth="1"/>
    <col min="25" max="25" width="21.8515625" style="249" customWidth="1"/>
    <col min="26" max="26" width="8.8515625" style="67" hidden="1" customWidth="1"/>
    <col min="27" max="27" width="10.00390625" style="68" hidden="1" customWidth="1"/>
    <col min="28" max="28" width="11.00390625" style="67" hidden="1" customWidth="1"/>
    <col min="29" max="29" width="9.57421875" style="67" hidden="1" customWidth="1"/>
    <col min="30" max="30" width="9.140625" style="67" hidden="1" customWidth="1"/>
    <col min="31" max="31" width="7.7109375" style="67" hidden="1" customWidth="1"/>
    <col min="32" max="32" width="6.8515625" style="67" hidden="1" customWidth="1"/>
    <col min="33" max="33" width="8.421875" style="67" hidden="1" customWidth="1"/>
    <col min="34" max="34" width="6.421875" style="67" hidden="1" customWidth="1"/>
    <col min="35" max="35" width="8.28125" style="67" hidden="1" customWidth="1"/>
    <col min="36" max="36" width="7.7109375" style="67" hidden="1" customWidth="1"/>
    <col min="37" max="37" width="8.00390625" style="67" hidden="1" customWidth="1"/>
    <col min="38" max="38" width="6.7109375" style="67" hidden="1" customWidth="1"/>
    <col min="39" max="39" width="6.57421875" style="67" hidden="1" customWidth="1"/>
    <col min="40" max="40" width="6.8515625" style="67" hidden="1" customWidth="1"/>
    <col min="41" max="42" width="9.140625" style="67" hidden="1" customWidth="1"/>
    <col min="43" max="43" width="7.8515625" style="67" hidden="1" customWidth="1"/>
    <col min="44" max="44" width="9.28125" style="67" hidden="1" customWidth="1"/>
    <col min="45" max="45" width="11.8515625" style="67" hidden="1" customWidth="1"/>
    <col min="46" max="46" width="19.00390625" style="90" hidden="1" customWidth="1"/>
    <col min="47" max="47" width="18.57421875" style="0" hidden="1" customWidth="1"/>
    <col min="49" max="49" width="21.7109375" style="0" customWidth="1"/>
  </cols>
  <sheetData>
    <row r="1" spans="1:75" ht="15">
      <c r="A1" s="26" t="s">
        <v>1</v>
      </c>
      <c r="B1" s="27"/>
      <c r="C1" s="412"/>
      <c r="D1" s="412"/>
      <c r="E1" s="242"/>
      <c r="F1" s="243">
        <f>22+17+21+23+17+20+5+19+15</f>
        <v>159</v>
      </c>
      <c r="G1" s="241">
        <f>3.775*1.49*12</f>
        <v>67.497</v>
      </c>
      <c r="H1" s="241"/>
      <c r="I1" s="242"/>
      <c r="J1" s="241"/>
      <c r="K1" s="241"/>
      <c r="L1" s="241"/>
      <c r="M1" s="241"/>
      <c r="N1" s="241"/>
      <c r="O1" s="241"/>
      <c r="P1" s="241"/>
      <c r="Q1" s="241"/>
      <c r="R1" s="241"/>
      <c r="S1" s="243"/>
      <c r="T1" s="241"/>
      <c r="U1" s="241"/>
      <c r="V1" s="241"/>
      <c r="W1" s="241"/>
      <c r="X1" s="241"/>
      <c r="Y1" s="244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 t="s">
        <v>221</v>
      </c>
      <c r="AT1" s="81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ht="15">
      <c r="A2" s="578" t="s">
        <v>219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245"/>
      <c r="U2" s="245"/>
      <c r="V2" s="245"/>
      <c r="W2" s="245"/>
      <c r="X2" s="245"/>
      <c r="Y2" s="246"/>
      <c r="Z2" s="29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82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15">
      <c r="A3" s="28"/>
      <c r="B3" s="27"/>
      <c r="C3" s="413"/>
      <c r="D3" s="413"/>
      <c r="E3" s="242"/>
      <c r="F3" s="243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7"/>
      <c r="Z3" s="37"/>
      <c r="AA3" s="33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83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15">
      <c r="A4" s="578" t="s">
        <v>218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9"/>
      <c r="T4" s="578"/>
      <c r="U4" s="578"/>
      <c r="V4" s="578"/>
      <c r="W4" s="578"/>
      <c r="X4" s="578"/>
      <c r="Y4" s="578"/>
      <c r="Z4" s="578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</row>
    <row r="5" spans="1:75" ht="15">
      <c r="A5" s="580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1"/>
      <c r="T5" s="580"/>
      <c r="U5" s="580"/>
      <c r="V5" s="580"/>
      <c r="W5" s="580"/>
      <c r="X5" s="580"/>
      <c r="Y5" s="580"/>
      <c r="Z5" s="580"/>
      <c r="AA5" s="29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</row>
    <row r="6" spans="1:75" ht="15">
      <c r="A6" s="28"/>
      <c r="B6" s="27"/>
      <c r="C6" s="413"/>
      <c r="D6" s="413"/>
      <c r="E6" s="242"/>
      <c r="F6" s="243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3"/>
      <c r="T6" s="242"/>
      <c r="U6" s="242"/>
      <c r="V6" s="242"/>
      <c r="W6" s="242"/>
      <c r="X6" s="242"/>
      <c r="Y6" s="247"/>
      <c r="Z6" s="37"/>
      <c r="AA6" s="33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83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</row>
    <row r="7" spans="1:75" ht="15.75">
      <c r="A7" s="582" t="s">
        <v>0</v>
      </c>
      <c r="B7" s="582" t="s">
        <v>217</v>
      </c>
      <c r="C7" s="556" t="s">
        <v>216</v>
      </c>
      <c r="D7" s="556" t="s">
        <v>215</v>
      </c>
      <c r="E7" s="559" t="s">
        <v>214</v>
      </c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61"/>
      <c r="T7" s="560"/>
      <c r="U7" s="560"/>
      <c r="V7" s="560"/>
      <c r="W7" s="560"/>
      <c r="X7" s="562"/>
      <c r="Y7" s="570" t="s">
        <v>213</v>
      </c>
      <c r="Z7" s="573" t="s">
        <v>224</v>
      </c>
      <c r="AA7" s="576" t="s">
        <v>225</v>
      </c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76"/>
      <c r="AQ7" s="576"/>
      <c r="AR7" s="576"/>
      <c r="AS7" s="577"/>
      <c r="AT7" s="549" t="s">
        <v>220</v>
      </c>
      <c r="AU7" s="546" t="s">
        <v>289</v>
      </c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</row>
    <row r="8" spans="1:75" ht="15.75">
      <c r="A8" s="583"/>
      <c r="B8" s="583"/>
      <c r="C8" s="557"/>
      <c r="D8" s="557"/>
      <c r="E8" s="563" t="s">
        <v>13</v>
      </c>
      <c r="F8" s="565" t="s">
        <v>212</v>
      </c>
      <c r="G8" s="564" t="s">
        <v>211</v>
      </c>
      <c r="H8" s="568" t="s">
        <v>9</v>
      </c>
      <c r="I8" s="568"/>
      <c r="J8" s="568"/>
      <c r="K8" s="568"/>
      <c r="L8" s="568"/>
      <c r="M8" s="568"/>
      <c r="N8" s="568"/>
      <c r="O8" s="568"/>
      <c r="P8" s="568"/>
      <c r="Q8" s="568"/>
      <c r="R8" s="568"/>
      <c r="S8" s="569"/>
      <c r="T8" s="568"/>
      <c r="U8" s="568"/>
      <c r="V8" s="568"/>
      <c r="W8" s="568"/>
      <c r="X8" s="568"/>
      <c r="Y8" s="571"/>
      <c r="Z8" s="574"/>
      <c r="AA8" s="550" t="s">
        <v>13</v>
      </c>
      <c r="AB8" s="552" t="s">
        <v>212</v>
      </c>
      <c r="AC8" s="552" t="s">
        <v>211</v>
      </c>
      <c r="AD8" s="554" t="s">
        <v>9</v>
      </c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75" t="s">
        <v>194</v>
      </c>
      <c r="AT8" s="549"/>
      <c r="AU8" s="547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</row>
    <row r="9" spans="1:75" ht="110.25">
      <c r="A9" s="584"/>
      <c r="B9" s="584"/>
      <c r="C9" s="558"/>
      <c r="D9" s="558"/>
      <c r="E9" s="564"/>
      <c r="F9" s="566"/>
      <c r="G9" s="567"/>
      <c r="H9" s="250" t="s">
        <v>210</v>
      </c>
      <c r="I9" s="250" t="s">
        <v>209</v>
      </c>
      <c r="J9" s="250" t="s">
        <v>208</v>
      </c>
      <c r="K9" s="250" t="s">
        <v>207</v>
      </c>
      <c r="L9" s="250" t="s">
        <v>206</v>
      </c>
      <c r="M9" s="250" t="s">
        <v>205</v>
      </c>
      <c r="N9" s="250" t="s">
        <v>204</v>
      </c>
      <c r="O9" s="250" t="s">
        <v>203</v>
      </c>
      <c r="P9" s="250" t="s">
        <v>202</v>
      </c>
      <c r="Q9" s="250" t="s">
        <v>201</v>
      </c>
      <c r="R9" s="250" t="s">
        <v>200</v>
      </c>
      <c r="S9" s="251" t="s">
        <v>199</v>
      </c>
      <c r="T9" s="250" t="s">
        <v>198</v>
      </c>
      <c r="U9" s="250" t="s">
        <v>197</v>
      </c>
      <c r="V9" s="250" t="s">
        <v>196</v>
      </c>
      <c r="W9" s="250" t="s">
        <v>195</v>
      </c>
      <c r="X9" s="250" t="s">
        <v>194</v>
      </c>
      <c r="Y9" s="572"/>
      <c r="Z9" s="552"/>
      <c r="AA9" s="551"/>
      <c r="AB9" s="553"/>
      <c r="AC9" s="553"/>
      <c r="AD9" s="252" t="s">
        <v>210</v>
      </c>
      <c r="AE9" s="252" t="s">
        <v>226</v>
      </c>
      <c r="AF9" s="252" t="s">
        <v>208</v>
      </c>
      <c r="AG9" s="252" t="s">
        <v>207</v>
      </c>
      <c r="AH9" s="252" t="s">
        <v>206</v>
      </c>
      <c r="AI9" s="252" t="s">
        <v>205</v>
      </c>
      <c r="AJ9" s="252" t="s">
        <v>204</v>
      </c>
      <c r="AK9" s="252" t="s">
        <v>203</v>
      </c>
      <c r="AL9" s="252" t="s">
        <v>202</v>
      </c>
      <c r="AM9" s="252" t="s">
        <v>201</v>
      </c>
      <c r="AN9" s="252" t="s">
        <v>200</v>
      </c>
      <c r="AO9" s="252" t="s">
        <v>199</v>
      </c>
      <c r="AP9" s="252" t="s">
        <v>198</v>
      </c>
      <c r="AQ9" s="252" t="s">
        <v>227</v>
      </c>
      <c r="AR9" s="253" t="s">
        <v>195</v>
      </c>
      <c r="AS9" s="575"/>
      <c r="AT9" s="549"/>
      <c r="AU9" s="548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1:75" ht="47.25">
      <c r="A10" s="254">
        <v>1</v>
      </c>
      <c r="B10" s="255" t="s">
        <v>193</v>
      </c>
      <c r="C10" s="414" t="s">
        <v>192</v>
      </c>
      <c r="D10" s="414" t="s">
        <v>191</v>
      </c>
      <c r="E10" s="256" t="s">
        <v>190</v>
      </c>
      <c r="F10" s="257" t="s">
        <v>189</v>
      </c>
      <c r="G10" s="256" t="s">
        <v>188</v>
      </c>
      <c r="H10" s="256" t="s">
        <v>187</v>
      </c>
      <c r="I10" s="256" t="s">
        <v>186</v>
      </c>
      <c r="J10" s="256" t="s">
        <v>185</v>
      </c>
      <c r="K10" s="256" t="s">
        <v>184</v>
      </c>
      <c r="L10" s="256" t="s">
        <v>183</v>
      </c>
      <c r="M10" s="256" t="s">
        <v>182</v>
      </c>
      <c r="N10" s="256" t="s">
        <v>181</v>
      </c>
      <c r="O10" s="256" t="s">
        <v>180</v>
      </c>
      <c r="P10" s="256" t="s">
        <v>179</v>
      </c>
      <c r="Q10" s="256" t="s">
        <v>178</v>
      </c>
      <c r="R10" s="256" t="s">
        <v>177</v>
      </c>
      <c r="S10" s="258" t="s">
        <v>176</v>
      </c>
      <c r="T10" s="256" t="s">
        <v>175</v>
      </c>
      <c r="U10" s="256" t="s">
        <v>174</v>
      </c>
      <c r="V10" s="256"/>
      <c r="W10" s="256" t="s">
        <v>173</v>
      </c>
      <c r="X10" s="256" t="s">
        <v>172</v>
      </c>
      <c r="Y10" s="259" t="s">
        <v>171</v>
      </c>
      <c r="Z10" s="260" t="s">
        <v>192</v>
      </c>
      <c r="AA10" s="261">
        <v>4</v>
      </c>
      <c r="AB10" s="260">
        <v>5</v>
      </c>
      <c r="AC10" s="260">
        <v>6</v>
      </c>
      <c r="AD10" s="260">
        <v>7</v>
      </c>
      <c r="AE10" s="260">
        <v>8</v>
      </c>
      <c r="AF10" s="260">
        <v>9</v>
      </c>
      <c r="AG10" s="260">
        <v>10</v>
      </c>
      <c r="AH10" s="260">
        <v>11</v>
      </c>
      <c r="AI10" s="260">
        <v>12</v>
      </c>
      <c r="AJ10" s="260">
        <v>13</v>
      </c>
      <c r="AK10" s="260">
        <v>14</v>
      </c>
      <c r="AL10" s="260">
        <v>15</v>
      </c>
      <c r="AM10" s="260">
        <v>16</v>
      </c>
      <c r="AN10" s="260">
        <v>17</v>
      </c>
      <c r="AO10" s="260">
        <v>18</v>
      </c>
      <c r="AP10" s="260">
        <v>19</v>
      </c>
      <c r="AQ10" s="260">
        <v>20</v>
      </c>
      <c r="AR10" s="260">
        <v>21</v>
      </c>
      <c r="AS10" s="425">
        <v>22</v>
      </c>
      <c r="AT10" s="451" t="s">
        <v>228</v>
      </c>
      <c r="AU10" s="20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</row>
    <row r="11" spans="1:75" ht="15.75">
      <c r="A11" s="262"/>
      <c r="B11" s="262" t="s">
        <v>170</v>
      </c>
      <c r="C11" s="415"/>
      <c r="D11" s="415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4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426"/>
      <c r="AT11" s="452"/>
      <c r="AU11" s="21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 ht="31.5">
      <c r="A12" s="266" t="s">
        <v>3</v>
      </c>
      <c r="B12" s="267" t="s">
        <v>169</v>
      </c>
      <c r="C12" s="415"/>
      <c r="D12" s="415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426"/>
      <c r="AT12" s="452">
        <f>AT13+AT22+AT30+AT38+AT93</f>
        <v>13044538336.5</v>
      </c>
      <c r="AU12" s="21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75" ht="47.25">
      <c r="A13" s="268">
        <v>5</v>
      </c>
      <c r="B13" s="269" t="s">
        <v>168</v>
      </c>
      <c r="C13" s="416">
        <v>6</v>
      </c>
      <c r="D13" s="416">
        <v>5</v>
      </c>
      <c r="E13" s="270">
        <f aca="true" t="shared" si="0" ref="E13:X13">SUM(E14:E19)</f>
        <v>30.89515</v>
      </c>
      <c r="F13" s="270">
        <f t="shared" si="0"/>
        <v>15.85</v>
      </c>
      <c r="G13" s="270">
        <f t="shared" si="0"/>
        <v>11.3204</v>
      </c>
      <c r="H13" s="270">
        <f t="shared" si="0"/>
        <v>4.2</v>
      </c>
      <c r="I13" s="270">
        <f t="shared" si="0"/>
        <v>0</v>
      </c>
      <c r="J13" s="270">
        <f t="shared" si="0"/>
        <v>0.24359999999999996</v>
      </c>
      <c r="K13" s="270">
        <f t="shared" si="0"/>
        <v>6.876799999999999</v>
      </c>
      <c r="L13" s="270">
        <f t="shared" si="0"/>
        <v>0</v>
      </c>
      <c r="M13" s="270">
        <f t="shared" si="0"/>
        <v>0</v>
      </c>
      <c r="N13" s="270">
        <f t="shared" si="0"/>
        <v>0</v>
      </c>
      <c r="O13" s="270">
        <f t="shared" si="0"/>
        <v>0</v>
      </c>
      <c r="P13" s="270">
        <f t="shared" si="0"/>
        <v>0</v>
      </c>
      <c r="Q13" s="270">
        <f t="shared" si="0"/>
        <v>0</v>
      </c>
      <c r="R13" s="270">
        <f t="shared" si="0"/>
        <v>0</v>
      </c>
      <c r="S13" s="270">
        <f t="shared" si="0"/>
        <v>0</v>
      </c>
      <c r="T13" s="270">
        <f t="shared" si="0"/>
        <v>0</v>
      </c>
      <c r="U13" s="270">
        <f t="shared" si="0"/>
        <v>0</v>
      </c>
      <c r="V13" s="270">
        <f t="shared" si="0"/>
        <v>0</v>
      </c>
      <c r="W13" s="270">
        <f t="shared" si="0"/>
        <v>0</v>
      </c>
      <c r="X13" s="270">
        <f t="shared" si="0"/>
        <v>3.72475</v>
      </c>
      <c r="Y13" s="271">
        <f>ROUNDUP(SUM(Y14:Y19),-3)</f>
        <v>552406000</v>
      </c>
      <c r="Z13" s="272">
        <f>+Z19</f>
        <v>0</v>
      </c>
      <c r="AA13" s="272">
        <f>SUM(AA15:AA21)</f>
        <v>38.2512</v>
      </c>
      <c r="AB13" s="272">
        <f aca="true" t="shared" si="1" ref="AB13:AT13">SUM(AB15:AB21)</f>
        <v>19.81</v>
      </c>
      <c r="AC13" s="272">
        <f t="shared" si="1"/>
        <v>13.7036</v>
      </c>
      <c r="AD13" s="272">
        <f t="shared" si="1"/>
        <v>4.2</v>
      </c>
      <c r="AE13" s="272">
        <f t="shared" si="1"/>
        <v>0.35</v>
      </c>
      <c r="AF13" s="272">
        <f t="shared" si="1"/>
        <v>0</v>
      </c>
      <c r="AG13" s="272">
        <f t="shared" si="1"/>
        <v>8.909999999999998</v>
      </c>
      <c r="AH13" s="272">
        <f t="shared" si="1"/>
        <v>0</v>
      </c>
      <c r="AI13" s="272">
        <f t="shared" si="1"/>
        <v>0.24359999999999996</v>
      </c>
      <c r="AJ13" s="272">
        <f t="shared" si="1"/>
        <v>0</v>
      </c>
      <c r="AK13" s="272">
        <f t="shared" si="1"/>
        <v>0</v>
      </c>
      <c r="AL13" s="272">
        <f t="shared" si="1"/>
        <v>0</v>
      </c>
      <c r="AM13" s="272">
        <f t="shared" si="1"/>
        <v>0</v>
      </c>
      <c r="AN13" s="272">
        <f t="shared" si="1"/>
        <v>0</v>
      </c>
      <c r="AO13" s="272">
        <f t="shared" si="1"/>
        <v>0</v>
      </c>
      <c r="AP13" s="272">
        <f t="shared" si="1"/>
        <v>0</v>
      </c>
      <c r="AQ13" s="272">
        <f t="shared" si="1"/>
        <v>0</v>
      </c>
      <c r="AR13" s="272">
        <f t="shared" si="1"/>
        <v>0</v>
      </c>
      <c r="AS13" s="427">
        <f t="shared" si="1"/>
        <v>4.7376</v>
      </c>
      <c r="AT13" s="380">
        <f t="shared" si="1"/>
        <v>594752497.5</v>
      </c>
      <c r="AU13" s="23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5.75">
      <c r="A14" s="273">
        <v>1</v>
      </c>
      <c r="B14" s="274" t="s">
        <v>167</v>
      </c>
      <c r="C14" s="416"/>
      <c r="D14" s="416"/>
      <c r="E14" s="275">
        <f aca="true" t="shared" si="2" ref="E14:E19">F14+G14+X14</f>
        <v>8.109499999999999</v>
      </c>
      <c r="F14" s="276">
        <v>4.06</v>
      </c>
      <c r="G14" s="275">
        <f aca="true" t="shared" si="3" ref="G14:G19">H14+I14+J14+K14+L14+M14+N14+O14+P14+Q14+R14+S14+T14+U14+W14</f>
        <v>3.0953999999999997</v>
      </c>
      <c r="H14" s="275">
        <v>0.7</v>
      </c>
      <c r="I14" s="275"/>
      <c r="J14" s="275">
        <f>0.06*F14</f>
        <v>0.24359999999999996</v>
      </c>
      <c r="K14" s="275">
        <f>(F14+I14+J14)*0.5</f>
        <v>2.1517999999999997</v>
      </c>
      <c r="L14" s="270"/>
      <c r="M14" s="270"/>
      <c r="N14" s="270"/>
      <c r="O14" s="270"/>
      <c r="P14" s="270"/>
      <c r="Q14" s="270"/>
      <c r="R14" s="270"/>
      <c r="S14" s="277"/>
      <c r="T14" s="270"/>
      <c r="U14" s="270"/>
      <c r="V14" s="270"/>
      <c r="W14" s="270"/>
      <c r="X14" s="275">
        <f aca="true" t="shared" si="4" ref="X14:X19">(F14+I14)*23.5%</f>
        <v>0.9540999999999998</v>
      </c>
      <c r="Y14" s="278">
        <f aca="true" t="shared" si="5" ref="Y14:Y19">ROUNDUP(E14*1490000*12,0)</f>
        <v>144997860</v>
      </c>
      <c r="Z14" s="279">
        <v>6</v>
      </c>
      <c r="AA14" s="279">
        <f>SUM(AA15:AA21)</f>
        <v>38.2512</v>
      </c>
      <c r="AB14" s="279">
        <f>SUM(AB15:AB21)</f>
        <v>19.81</v>
      </c>
      <c r="AC14" s="279">
        <f>SUM(AC15:AC21)</f>
        <v>13.7036</v>
      </c>
      <c r="AD14" s="279">
        <f>SUM(AD15:AD21)</f>
        <v>4.2</v>
      </c>
      <c r="AE14" s="279">
        <f>SUM(AE15:AE21)</f>
        <v>0.35</v>
      </c>
      <c r="AF14" s="279">
        <f aca="true" t="shared" si="6" ref="AF14:AR14">SUM(AF15:AF21)</f>
        <v>0</v>
      </c>
      <c r="AG14" s="279">
        <f>SUM(AG15:AG21)</f>
        <v>8.909999999999998</v>
      </c>
      <c r="AH14" s="279">
        <f t="shared" si="6"/>
        <v>0</v>
      </c>
      <c r="AI14" s="279">
        <f>SUM(AI15:AI21)</f>
        <v>0.24359999999999996</v>
      </c>
      <c r="AJ14" s="279">
        <f t="shared" si="6"/>
        <v>0</v>
      </c>
      <c r="AK14" s="279">
        <f t="shared" si="6"/>
        <v>0</v>
      </c>
      <c r="AL14" s="279">
        <f t="shared" si="6"/>
        <v>0</v>
      </c>
      <c r="AM14" s="279">
        <f t="shared" si="6"/>
        <v>0</v>
      </c>
      <c r="AN14" s="279">
        <f t="shared" si="6"/>
        <v>0</v>
      </c>
      <c r="AO14" s="279">
        <f t="shared" si="6"/>
        <v>0</v>
      </c>
      <c r="AP14" s="279">
        <f t="shared" si="6"/>
        <v>0</v>
      </c>
      <c r="AQ14" s="279">
        <f t="shared" si="6"/>
        <v>0</v>
      </c>
      <c r="AR14" s="279">
        <f t="shared" si="6"/>
        <v>0</v>
      </c>
      <c r="AS14" s="428">
        <f>SUM(AS15:AS21)</f>
        <v>4.7376</v>
      </c>
      <c r="AT14" s="379">
        <f>SUM(AT15:AT21)</f>
        <v>594752497.5</v>
      </c>
      <c r="AU14" s="21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</row>
    <row r="15" spans="1:75" ht="15.75">
      <c r="A15" s="273">
        <v>2</v>
      </c>
      <c r="B15" s="274" t="s">
        <v>166</v>
      </c>
      <c r="C15" s="416"/>
      <c r="D15" s="416"/>
      <c r="E15" s="275">
        <f t="shared" si="2"/>
        <v>4.7599</v>
      </c>
      <c r="F15" s="276">
        <v>2.34</v>
      </c>
      <c r="G15" s="275">
        <f t="shared" si="3"/>
        <v>1.8699999999999999</v>
      </c>
      <c r="H15" s="275">
        <v>0.7</v>
      </c>
      <c r="I15" s="275"/>
      <c r="J15" s="275"/>
      <c r="K15" s="275">
        <f>(F15+I15+J15)*0.5</f>
        <v>1.17</v>
      </c>
      <c r="L15" s="270"/>
      <c r="M15" s="270"/>
      <c r="N15" s="270"/>
      <c r="O15" s="270"/>
      <c r="P15" s="270"/>
      <c r="Q15" s="270"/>
      <c r="R15" s="270"/>
      <c r="S15" s="277"/>
      <c r="T15" s="270"/>
      <c r="U15" s="270"/>
      <c r="V15" s="270"/>
      <c r="W15" s="270"/>
      <c r="X15" s="275">
        <f t="shared" si="4"/>
        <v>0.5498999999999999</v>
      </c>
      <c r="Y15" s="278">
        <f t="shared" si="5"/>
        <v>85107012</v>
      </c>
      <c r="Z15" s="280"/>
      <c r="AA15" s="281">
        <f aca="true" t="shared" si="7" ref="AA15:AA21">AB15+AC15+AS15</f>
        <v>7.9876999999999985</v>
      </c>
      <c r="AB15" s="70">
        <v>4.06</v>
      </c>
      <c r="AC15" s="280">
        <f>SUM(AD15:AR15)</f>
        <v>2.9735999999999994</v>
      </c>
      <c r="AD15" s="282">
        <v>0.7</v>
      </c>
      <c r="AE15" s="280"/>
      <c r="AF15" s="280"/>
      <c r="AG15" s="283">
        <f>(AB15+AE15)*50%</f>
        <v>2.03</v>
      </c>
      <c r="AH15" s="280"/>
      <c r="AI15" s="74">
        <f>AB15*6%</f>
        <v>0.24359999999999996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429">
        <f>(AB15+AE15)*23.5%</f>
        <v>0.9540999999999998</v>
      </c>
      <c r="AT15" s="285">
        <f>(AA15*9*1490000)+(8.41*1490000*3)</f>
        <v>144707757</v>
      </c>
      <c r="AU15" s="21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5" ht="15.75">
      <c r="A16" s="273">
        <v>3</v>
      </c>
      <c r="B16" s="274" t="s">
        <v>165</v>
      </c>
      <c r="C16" s="416"/>
      <c r="D16" s="416"/>
      <c r="E16" s="275">
        <f t="shared" si="2"/>
        <v>5.33245</v>
      </c>
      <c r="F16" s="276">
        <v>2.67</v>
      </c>
      <c r="G16" s="275">
        <f t="shared" si="3"/>
        <v>2.035</v>
      </c>
      <c r="H16" s="275">
        <v>0.7</v>
      </c>
      <c r="I16" s="275"/>
      <c r="J16" s="275"/>
      <c r="K16" s="275">
        <f>(F16+I16+J16)*0.5</f>
        <v>1.335</v>
      </c>
      <c r="L16" s="270"/>
      <c r="M16" s="270"/>
      <c r="N16" s="270"/>
      <c r="O16" s="270"/>
      <c r="P16" s="270"/>
      <c r="Q16" s="270"/>
      <c r="R16" s="270"/>
      <c r="S16" s="277"/>
      <c r="T16" s="270"/>
      <c r="U16" s="270"/>
      <c r="V16" s="270"/>
      <c r="W16" s="270"/>
      <c r="X16" s="275">
        <f t="shared" si="4"/>
        <v>0.62745</v>
      </c>
      <c r="Y16" s="278">
        <f t="shared" si="5"/>
        <v>95344206</v>
      </c>
      <c r="Z16" s="280"/>
      <c r="AA16" s="281">
        <f t="shared" si="7"/>
        <v>4.7599</v>
      </c>
      <c r="AB16" s="77">
        <v>2.34</v>
      </c>
      <c r="AC16" s="280">
        <f aca="true" t="shared" si="8" ref="AC16:AC21">SUM(AD16:AR16)</f>
        <v>1.8699999999999999</v>
      </c>
      <c r="AD16" s="282">
        <v>0.7</v>
      </c>
      <c r="AE16" s="280"/>
      <c r="AF16" s="280"/>
      <c r="AG16" s="283">
        <f aca="true" t="shared" si="9" ref="AG16:AG21">(AB16+AE16)*50%</f>
        <v>1.17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429">
        <f aca="true" t="shared" si="10" ref="AS16:AS21">(AB16+AE16)*23.5%</f>
        <v>0.5498999999999999</v>
      </c>
      <c r="AT16" s="285">
        <f>AA16*12*1490000</f>
        <v>85107012</v>
      </c>
      <c r="AU16" s="21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5" ht="15.75">
      <c r="A17" s="273">
        <v>4</v>
      </c>
      <c r="B17" s="274" t="s">
        <v>164</v>
      </c>
      <c r="C17" s="416"/>
      <c r="D17" s="416"/>
      <c r="E17" s="275">
        <f t="shared" si="2"/>
        <v>4.7599</v>
      </c>
      <c r="F17" s="276">
        <v>2.34</v>
      </c>
      <c r="G17" s="275">
        <f t="shared" si="3"/>
        <v>1.8699999999999999</v>
      </c>
      <c r="H17" s="275">
        <v>0.7</v>
      </c>
      <c r="I17" s="275"/>
      <c r="J17" s="275"/>
      <c r="K17" s="275">
        <f>(F17+I17+J17)*0.5</f>
        <v>1.17</v>
      </c>
      <c r="L17" s="270"/>
      <c r="M17" s="270"/>
      <c r="N17" s="270"/>
      <c r="O17" s="270"/>
      <c r="P17" s="270"/>
      <c r="Q17" s="270"/>
      <c r="R17" s="270"/>
      <c r="S17" s="277"/>
      <c r="T17" s="270"/>
      <c r="U17" s="270"/>
      <c r="V17" s="270"/>
      <c r="W17" s="270"/>
      <c r="X17" s="275">
        <f t="shared" si="4"/>
        <v>0.5498999999999999</v>
      </c>
      <c r="Y17" s="278">
        <f t="shared" si="5"/>
        <v>85107012</v>
      </c>
      <c r="Z17" s="280"/>
      <c r="AA17" s="281">
        <f t="shared" si="7"/>
        <v>4.7599</v>
      </c>
      <c r="AB17" s="77">
        <v>2.34</v>
      </c>
      <c r="AC17" s="280">
        <f t="shared" si="8"/>
        <v>1.8699999999999999</v>
      </c>
      <c r="AD17" s="282">
        <v>0.7</v>
      </c>
      <c r="AE17" s="280"/>
      <c r="AF17" s="280"/>
      <c r="AG17" s="283">
        <f t="shared" si="9"/>
        <v>1.17</v>
      </c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429">
        <f t="shared" si="10"/>
        <v>0.5498999999999999</v>
      </c>
      <c r="AT17" s="285">
        <f>AA17*12*1490000</f>
        <v>85107012</v>
      </c>
      <c r="AU17" s="21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5" ht="15.75">
      <c r="A18" s="273">
        <v>5</v>
      </c>
      <c r="B18" s="274" t="s">
        <v>163</v>
      </c>
      <c r="C18" s="416"/>
      <c r="D18" s="416"/>
      <c r="E18" s="275">
        <f t="shared" si="2"/>
        <v>4.3435</v>
      </c>
      <c r="F18" s="276">
        <v>2.1</v>
      </c>
      <c r="G18" s="275">
        <f t="shared" si="3"/>
        <v>1.75</v>
      </c>
      <c r="H18" s="275">
        <v>0.7</v>
      </c>
      <c r="I18" s="275"/>
      <c r="J18" s="275"/>
      <c r="K18" s="275">
        <f>(F18+I18+J18)*0.5</f>
        <v>1.05</v>
      </c>
      <c r="L18" s="270"/>
      <c r="M18" s="270"/>
      <c r="N18" s="270"/>
      <c r="O18" s="270"/>
      <c r="P18" s="270"/>
      <c r="Q18" s="270"/>
      <c r="R18" s="270"/>
      <c r="S18" s="277"/>
      <c r="T18" s="270"/>
      <c r="U18" s="270"/>
      <c r="V18" s="270"/>
      <c r="W18" s="270"/>
      <c r="X18" s="275">
        <f t="shared" si="4"/>
        <v>0.4935</v>
      </c>
      <c r="Y18" s="278">
        <f t="shared" si="5"/>
        <v>77661780</v>
      </c>
      <c r="Z18" s="280"/>
      <c r="AA18" s="281">
        <f t="shared" si="7"/>
        <v>4.3435</v>
      </c>
      <c r="AB18" s="77">
        <v>2.1</v>
      </c>
      <c r="AC18" s="280">
        <f t="shared" si="8"/>
        <v>1.75</v>
      </c>
      <c r="AD18" s="282">
        <v>0.7</v>
      </c>
      <c r="AE18" s="280"/>
      <c r="AF18" s="280"/>
      <c r="AG18" s="283">
        <f t="shared" si="9"/>
        <v>1.05</v>
      </c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429">
        <f t="shared" si="10"/>
        <v>0.4935</v>
      </c>
      <c r="AT18" s="285">
        <f>AA18*12*1490000</f>
        <v>77661780</v>
      </c>
      <c r="AU18" s="21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5" ht="15.75">
      <c r="A19" s="273">
        <v>6</v>
      </c>
      <c r="B19" s="274" t="s">
        <v>162</v>
      </c>
      <c r="C19" s="416"/>
      <c r="D19" s="416"/>
      <c r="E19" s="275">
        <f t="shared" si="2"/>
        <v>3.5899</v>
      </c>
      <c r="F19" s="276">
        <v>2.34</v>
      </c>
      <c r="G19" s="275">
        <f t="shared" si="3"/>
        <v>0.7</v>
      </c>
      <c r="H19" s="275">
        <v>0.7</v>
      </c>
      <c r="I19" s="275"/>
      <c r="J19" s="275"/>
      <c r="K19" s="275"/>
      <c r="L19" s="270"/>
      <c r="M19" s="270"/>
      <c r="N19" s="270"/>
      <c r="O19" s="270"/>
      <c r="P19" s="270"/>
      <c r="Q19" s="270"/>
      <c r="R19" s="270"/>
      <c r="S19" s="277"/>
      <c r="T19" s="270"/>
      <c r="U19" s="270"/>
      <c r="V19" s="270"/>
      <c r="W19" s="270"/>
      <c r="X19" s="275">
        <f t="shared" si="4"/>
        <v>0.5498999999999999</v>
      </c>
      <c r="Y19" s="278">
        <f t="shared" si="5"/>
        <v>64187412</v>
      </c>
      <c r="Z19" s="280"/>
      <c r="AA19" s="281">
        <f t="shared" si="7"/>
        <v>5.33245</v>
      </c>
      <c r="AB19" s="77">
        <v>2.67</v>
      </c>
      <c r="AC19" s="280">
        <f t="shared" si="8"/>
        <v>2.035</v>
      </c>
      <c r="AD19" s="282">
        <v>0.7</v>
      </c>
      <c r="AE19" s="280"/>
      <c r="AF19" s="280"/>
      <c r="AG19" s="283">
        <f t="shared" si="9"/>
        <v>1.335</v>
      </c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429">
        <f t="shared" si="10"/>
        <v>0.62745</v>
      </c>
      <c r="AT19" s="285">
        <f>AA19*12*1490000</f>
        <v>95344206</v>
      </c>
      <c r="AU19" s="21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</row>
    <row r="20" spans="1:47" s="22" customFormat="1" ht="15.75">
      <c r="A20" s="268">
        <v>6</v>
      </c>
      <c r="B20" s="286" t="s">
        <v>7</v>
      </c>
      <c r="C20" s="416">
        <v>6</v>
      </c>
      <c r="D20" s="416">
        <v>5</v>
      </c>
      <c r="E20" s="270">
        <f>E21</f>
        <v>25.5203</v>
      </c>
      <c r="F20" s="270">
        <f aca="true" t="shared" si="11" ref="F20:X20">F21</f>
        <v>14.75</v>
      </c>
      <c r="G20" s="270">
        <f t="shared" si="11"/>
        <v>10.804999999999998</v>
      </c>
      <c r="H20" s="270">
        <f t="shared" si="11"/>
        <v>4.2</v>
      </c>
      <c r="I20" s="270">
        <f t="shared" si="11"/>
        <v>0</v>
      </c>
      <c r="J20" s="270">
        <f t="shared" si="11"/>
        <v>0</v>
      </c>
      <c r="K20" s="270">
        <f t="shared" si="11"/>
        <v>6.205</v>
      </c>
      <c r="L20" s="270">
        <f t="shared" si="11"/>
        <v>0</v>
      </c>
      <c r="M20" s="270">
        <f t="shared" si="11"/>
        <v>0</v>
      </c>
      <c r="N20" s="270">
        <f t="shared" si="11"/>
        <v>0</v>
      </c>
      <c r="O20" s="270">
        <f t="shared" si="11"/>
        <v>0</v>
      </c>
      <c r="P20" s="270">
        <f t="shared" si="11"/>
        <v>0</v>
      </c>
      <c r="Q20" s="270">
        <f t="shared" si="11"/>
        <v>0</v>
      </c>
      <c r="R20" s="270">
        <f t="shared" si="11"/>
        <v>0</v>
      </c>
      <c r="S20" s="270">
        <f t="shared" si="11"/>
        <v>0</v>
      </c>
      <c r="T20" s="270">
        <f t="shared" si="11"/>
        <v>0</v>
      </c>
      <c r="U20" s="270">
        <f t="shared" si="11"/>
        <v>0</v>
      </c>
      <c r="V20" s="270">
        <f t="shared" si="11"/>
        <v>0</v>
      </c>
      <c r="W20" s="270">
        <f t="shared" si="11"/>
        <v>0.4</v>
      </c>
      <c r="X20" s="270">
        <f t="shared" si="11"/>
        <v>3.44285</v>
      </c>
      <c r="Y20" s="271">
        <f>ROUNDUP(Y21,-3)</f>
        <v>456303000</v>
      </c>
      <c r="Z20" s="280"/>
      <c r="AA20" s="281">
        <f t="shared" si="7"/>
        <v>2.8899</v>
      </c>
      <c r="AB20" s="70">
        <v>2.34</v>
      </c>
      <c r="AC20" s="280">
        <f t="shared" si="8"/>
        <v>0</v>
      </c>
      <c r="AD20" s="282"/>
      <c r="AE20" s="280"/>
      <c r="AF20" s="280"/>
      <c r="AG20" s="283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429">
        <f t="shared" si="10"/>
        <v>0.5498999999999999</v>
      </c>
      <c r="AT20" s="285">
        <f>AA20*5*1490000</f>
        <v>21529755</v>
      </c>
      <c r="AU20" s="23"/>
    </row>
    <row r="21" spans="1:47" s="19" customFormat="1" ht="31.5">
      <c r="A21" s="287" t="s">
        <v>241</v>
      </c>
      <c r="B21" s="267" t="s">
        <v>266</v>
      </c>
      <c r="C21" s="416"/>
      <c r="D21" s="416"/>
      <c r="E21" s="270">
        <f>SUM(E22:E27)</f>
        <v>25.5203</v>
      </c>
      <c r="F21" s="270">
        <f aca="true" t="shared" si="12" ref="F21:X21">SUM(F22:F27)</f>
        <v>14.75</v>
      </c>
      <c r="G21" s="270">
        <f t="shared" si="12"/>
        <v>10.804999999999998</v>
      </c>
      <c r="H21" s="270">
        <f t="shared" si="12"/>
        <v>4.2</v>
      </c>
      <c r="I21" s="270">
        <f t="shared" si="12"/>
        <v>0</v>
      </c>
      <c r="J21" s="270">
        <f t="shared" si="12"/>
        <v>0</v>
      </c>
      <c r="K21" s="270">
        <f t="shared" si="12"/>
        <v>6.205</v>
      </c>
      <c r="L21" s="270">
        <f t="shared" si="12"/>
        <v>0</v>
      </c>
      <c r="M21" s="270">
        <f t="shared" si="12"/>
        <v>0</v>
      </c>
      <c r="N21" s="270">
        <f t="shared" si="12"/>
        <v>0</v>
      </c>
      <c r="O21" s="270">
        <f t="shared" si="12"/>
        <v>0</v>
      </c>
      <c r="P21" s="270">
        <f t="shared" si="12"/>
        <v>0</v>
      </c>
      <c r="Q21" s="270">
        <f t="shared" si="12"/>
        <v>0</v>
      </c>
      <c r="R21" s="270">
        <f t="shared" si="12"/>
        <v>0</v>
      </c>
      <c r="S21" s="270">
        <f t="shared" si="12"/>
        <v>0</v>
      </c>
      <c r="T21" s="270">
        <f t="shared" si="12"/>
        <v>0</v>
      </c>
      <c r="U21" s="270">
        <f t="shared" si="12"/>
        <v>0</v>
      </c>
      <c r="V21" s="270">
        <f t="shared" si="12"/>
        <v>0</v>
      </c>
      <c r="W21" s="270">
        <f t="shared" si="12"/>
        <v>0.4</v>
      </c>
      <c r="X21" s="270">
        <f t="shared" si="12"/>
        <v>3.44285</v>
      </c>
      <c r="Y21" s="289">
        <f>ROUNDUP(SUM(Y22:Y27),-3)</f>
        <v>456303000</v>
      </c>
      <c r="Z21" s="280"/>
      <c r="AA21" s="281">
        <f t="shared" si="7"/>
        <v>8.17785</v>
      </c>
      <c r="AB21" s="70">
        <v>3.96</v>
      </c>
      <c r="AC21" s="280">
        <f t="shared" si="8"/>
        <v>3.2049999999999996</v>
      </c>
      <c r="AD21" s="282">
        <v>0.7</v>
      </c>
      <c r="AE21" s="280">
        <v>0.35</v>
      </c>
      <c r="AF21" s="280"/>
      <c r="AG21" s="283">
        <f t="shared" si="9"/>
        <v>2.155</v>
      </c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429">
        <f t="shared" si="10"/>
        <v>1.0128499999999998</v>
      </c>
      <c r="AT21" s="285">
        <f>AA21*7*1490000</f>
        <v>85294975.5</v>
      </c>
      <c r="AU21" s="21"/>
    </row>
    <row r="22" spans="1:47" s="24" customFormat="1" ht="34.5" customHeight="1">
      <c r="A22" s="273">
        <v>1</v>
      </c>
      <c r="B22" s="338" t="s">
        <v>267</v>
      </c>
      <c r="C22" s="417"/>
      <c r="D22" s="417"/>
      <c r="E22" s="275">
        <f>F22+G22+X22</f>
        <v>4.7364999999999995</v>
      </c>
      <c r="F22" s="276">
        <v>2.34</v>
      </c>
      <c r="G22" s="275">
        <f aca="true" t="shared" si="13" ref="G22:G27">H22+I22+J22+K22+L22+M22+N22+O22+P22+Q22+R22+S22+T22+U22+W22</f>
        <v>1.8699999999999999</v>
      </c>
      <c r="H22" s="275">
        <v>0.7</v>
      </c>
      <c r="I22" s="275"/>
      <c r="J22" s="290"/>
      <c r="K22" s="275">
        <f>(F22+I22+J22)*0.5</f>
        <v>1.17</v>
      </c>
      <c r="L22" s="275"/>
      <c r="M22" s="275"/>
      <c r="N22" s="275"/>
      <c r="O22" s="275"/>
      <c r="P22" s="275"/>
      <c r="Q22" s="275"/>
      <c r="R22" s="275"/>
      <c r="S22" s="276"/>
      <c r="T22" s="275"/>
      <c r="U22" s="275"/>
      <c r="V22" s="275"/>
      <c r="W22" s="275"/>
      <c r="X22" s="275">
        <f>(F22+I22+J22+M22)*0.225</f>
        <v>0.5265</v>
      </c>
      <c r="Y22" s="278">
        <f>E22*1490000*12</f>
        <v>84688619.99999999</v>
      </c>
      <c r="Z22" s="272"/>
      <c r="AA22" s="291">
        <f>AA23</f>
        <v>29.81335</v>
      </c>
      <c r="AB22" s="291">
        <f aca="true" t="shared" si="14" ref="AB22:AS22">AB23</f>
        <v>15.41</v>
      </c>
      <c r="AC22" s="291">
        <f t="shared" si="14"/>
        <v>10.735</v>
      </c>
      <c r="AD22" s="291">
        <f t="shared" si="14"/>
        <v>3.5</v>
      </c>
      <c r="AE22" s="291">
        <f t="shared" si="14"/>
        <v>0.2</v>
      </c>
      <c r="AF22" s="291">
        <f t="shared" si="14"/>
        <v>0</v>
      </c>
      <c r="AG22" s="291">
        <f t="shared" si="14"/>
        <v>6.635000000000001</v>
      </c>
      <c r="AH22" s="291">
        <f t="shared" si="14"/>
        <v>0</v>
      </c>
      <c r="AI22" s="291">
        <f t="shared" si="14"/>
        <v>0</v>
      </c>
      <c r="AJ22" s="291">
        <f t="shared" si="14"/>
        <v>0</v>
      </c>
      <c r="AK22" s="291">
        <f t="shared" si="14"/>
        <v>0</v>
      </c>
      <c r="AL22" s="291">
        <f t="shared" si="14"/>
        <v>0</v>
      </c>
      <c r="AM22" s="291">
        <f t="shared" si="14"/>
        <v>0</v>
      </c>
      <c r="AN22" s="291">
        <f t="shared" si="14"/>
        <v>0</v>
      </c>
      <c r="AO22" s="291">
        <f t="shared" si="14"/>
        <v>0</v>
      </c>
      <c r="AP22" s="291">
        <f t="shared" si="14"/>
        <v>0</v>
      </c>
      <c r="AQ22" s="291">
        <f t="shared" si="14"/>
        <v>0</v>
      </c>
      <c r="AR22" s="291">
        <f t="shared" si="14"/>
        <v>0.4</v>
      </c>
      <c r="AS22" s="430">
        <f t="shared" si="14"/>
        <v>3.66835</v>
      </c>
      <c r="AT22" s="293">
        <f>AT23</f>
        <v>523951273.5</v>
      </c>
      <c r="AU22" s="20"/>
    </row>
    <row r="23" spans="1:47" s="24" customFormat="1" ht="15.75">
      <c r="A23" s="273">
        <v>2</v>
      </c>
      <c r="B23" s="274" t="s">
        <v>237</v>
      </c>
      <c r="C23" s="417"/>
      <c r="D23" s="417"/>
      <c r="E23" s="275">
        <f>F23+G23+X23</f>
        <v>4.4741</v>
      </c>
      <c r="F23" s="276">
        <v>2.06</v>
      </c>
      <c r="G23" s="275">
        <f t="shared" si="13"/>
        <v>1.93</v>
      </c>
      <c r="H23" s="275">
        <v>0.7</v>
      </c>
      <c r="I23" s="275"/>
      <c r="J23" s="275"/>
      <c r="K23" s="275">
        <f>(F23+I23+J23)*0.5</f>
        <v>1.03</v>
      </c>
      <c r="L23" s="275"/>
      <c r="M23" s="275"/>
      <c r="N23" s="275"/>
      <c r="O23" s="275"/>
      <c r="P23" s="275"/>
      <c r="Q23" s="275"/>
      <c r="R23" s="275"/>
      <c r="S23" s="276"/>
      <c r="T23" s="275"/>
      <c r="U23" s="275"/>
      <c r="V23" s="275"/>
      <c r="W23" s="275">
        <v>0.2</v>
      </c>
      <c r="X23" s="275">
        <f>(F23+I23+J23+M23)*0.235</f>
        <v>0.4841</v>
      </c>
      <c r="Y23" s="278">
        <f>E23*1490000*12</f>
        <v>79996908</v>
      </c>
      <c r="Z23" s="291">
        <v>6</v>
      </c>
      <c r="AA23" s="292">
        <f>SUM(AA24:AA29)</f>
        <v>29.81335</v>
      </c>
      <c r="AB23" s="292">
        <f>SUM(AB24:AB29)</f>
        <v>15.41</v>
      </c>
      <c r="AC23" s="292">
        <f>SUM(AC24:AC29)</f>
        <v>10.735</v>
      </c>
      <c r="AD23" s="292">
        <f>SUM(AD24:AD29)</f>
        <v>3.5</v>
      </c>
      <c r="AE23" s="292">
        <f>SUM(AE24:AE29)</f>
        <v>0.2</v>
      </c>
      <c r="AF23" s="292">
        <f aca="true" t="shared" si="15" ref="AF23:AT23">SUM(AF24:AF29)</f>
        <v>0</v>
      </c>
      <c r="AG23" s="292">
        <f>SUM(AG24:AG29)</f>
        <v>6.635000000000001</v>
      </c>
      <c r="AH23" s="292">
        <f t="shared" si="15"/>
        <v>0</v>
      </c>
      <c r="AI23" s="292">
        <f t="shared" si="15"/>
        <v>0</v>
      </c>
      <c r="AJ23" s="292">
        <f t="shared" si="15"/>
        <v>0</v>
      </c>
      <c r="AK23" s="292">
        <f t="shared" si="15"/>
        <v>0</v>
      </c>
      <c r="AL23" s="292">
        <f t="shared" si="15"/>
        <v>0</v>
      </c>
      <c r="AM23" s="292">
        <f t="shared" si="15"/>
        <v>0</v>
      </c>
      <c r="AN23" s="292">
        <f t="shared" si="15"/>
        <v>0</v>
      </c>
      <c r="AO23" s="292">
        <f t="shared" si="15"/>
        <v>0</v>
      </c>
      <c r="AP23" s="292">
        <f t="shared" si="15"/>
        <v>0</v>
      </c>
      <c r="AQ23" s="292">
        <f t="shared" si="15"/>
        <v>0</v>
      </c>
      <c r="AR23" s="292">
        <f>SUM(AR24:AR29)</f>
        <v>0.4</v>
      </c>
      <c r="AS23" s="431">
        <f>SUM(AS24:AS29)</f>
        <v>3.66835</v>
      </c>
      <c r="AT23" s="453">
        <f t="shared" si="15"/>
        <v>523951273.5</v>
      </c>
      <c r="AU23" s="20"/>
    </row>
    <row r="24" spans="1:47" s="24" customFormat="1" ht="15.75">
      <c r="A24" s="273">
        <v>3</v>
      </c>
      <c r="B24" s="274" t="s">
        <v>234</v>
      </c>
      <c r="C24" s="417"/>
      <c r="D24" s="417"/>
      <c r="E24" s="275">
        <f>F24+G24+X24</f>
        <v>4.9599</v>
      </c>
      <c r="F24" s="276">
        <v>2.34</v>
      </c>
      <c r="G24" s="275">
        <f t="shared" si="13"/>
        <v>2.07</v>
      </c>
      <c r="H24" s="275">
        <v>0.7</v>
      </c>
      <c r="I24" s="275"/>
      <c r="J24" s="275"/>
      <c r="K24" s="275">
        <f>(F24+I24+J24)*0.5</f>
        <v>1.17</v>
      </c>
      <c r="L24" s="275"/>
      <c r="M24" s="275"/>
      <c r="N24" s="275"/>
      <c r="O24" s="275"/>
      <c r="P24" s="275"/>
      <c r="Q24" s="275"/>
      <c r="R24" s="275"/>
      <c r="S24" s="276"/>
      <c r="T24" s="275"/>
      <c r="U24" s="275"/>
      <c r="V24" s="275"/>
      <c r="W24" s="275">
        <v>0.2</v>
      </c>
      <c r="X24" s="275">
        <f>(F24+I24+J24+M24)*0.235</f>
        <v>0.5498999999999999</v>
      </c>
      <c r="Y24" s="278">
        <f>E24*1490000*12</f>
        <v>88683012</v>
      </c>
      <c r="Z24" s="293"/>
      <c r="AA24" s="294">
        <f aca="true" t="shared" si="16" ref="AA24:AA29">AB24+AC24+AS24</f>
        <v>5.53245</v>
      </c>
      <c r="AB24" s="295">
        <v>2.67</v>
      </c>
      <c r="AC24" s="280">
        <f aca="true" t="shared" si="17" ref="AC24:AC29">SUM(AD24:AR24)</f>
        <v>2.2350000000000003</v>
      </c>
      <c r="AD24" s="282">
        <v>0.7</v>
      </c>
      <c r="AE24" s="284"/>
      <c r="AF24" s="293"/>
      <c r="AG24" s="283">
        <f>(AB24+AE24)*50%</f>
        <v>1.335</v>
      </c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84">
        <v>0.2</v>
      </c>
      <c r="AS24" s="429">
        <f aca="true" t="shared" si="18" ref="AS24:AS29">(AB24+AE24)*23.5%</f>
        <v>0.62745</v>
      </c>
      <c r="AT24" s="285">
        <f>(AA24*8*1490000)+(4.96*4*1490000)</f>
        <v>95508404</v>
      </c>
      <c r="AU24" s="20"/>
    </row>
    <row r="25" spans="1:47" s="24" customFormat="1" ht="15.75">
      <c r="A25" s="273">
        <v>4</v>
      </c>
      <c r="B25" s="274" t="s">
        <v>268</v>
      </c>
      <c r="C25" s="417"/>
      <c r="D25" s="417"/>
      <c r="E25" s="275">
        <v>3</v>
      </c>
      <c r="F25" s="276">
        <v>3.33</v>
      </c>
      <c r="G25" s="275">
        <f t="shared" si="13"/>
        <v>2.365</v>
      </c>
      <c r="H25" s="275">
        <v>0.7</v>
      </c>
      <c r="I25" s="275"/>
      <c r="J25" s="275"/>
      <c r="K25" s="275">
        <f>(F25+I25+J25)*0.5</f>
        <v>1.665</v>
      </c>
      <c r="L25" s="275"/>
      <c r="M25" s="275"/>
      <c r="N25" s="275"/>
      <c r="O25" s="275"/>
      <c r="P25" s="275"/>
      <c r="Q25" s="275"/>
      <c r="R25" s="275"/>
      <c r="S25" s="276"/>
      <c r="T25" s="275"/>
      <c r="U25" s="275"/>
      <c r="V25" s="275"/>
      <c r="W25" s="275"/>
      <c r="X25" s="275">
        <f>(F25+I25+J25+M25)*0.235</f>
        <v>0.78255</v>
      </c>
      <c r="Y25" s="278">
        <f>E25*1490000*12</f>
        <v>53640000</v>
      </c>
      <c r="Z25" s="293"/>
      <c r="AA25" s="294">
        <f t="shared" si="16"/>
        <v>5.67945</v>
      </c>
      <c r="AB25" s="295">
        <v>2.67</v>
      </c>
      <c r="AC25" s="280">
        <f t="shared" si="17"/>
        <v>2.335</v>
      </c>
      <c r="AD25" s="282">
        <v>0.7</v>
      </c>
      <c r="AE25" s="284">
        <v>0.2</v>
      </c>
      <c r="AF25" s="293"/>
      <c r="AG25" s="283">
        <f>(AB25+AE25)*50%</f>
        <v>1.435</v>
      </c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84"/>
      <c r="AS25" s="429">
        <f t="shared" si="18"/>
        <v>0.67445</v>
      </c>
      <c r="AT25" s="285">
        <f>(AA25*7*1490000)+(4.76*4*1490000)+(5.532*1490000*1)</f>
        <v>95848943.5</v>
      </c>
      <c r="AU25" s="20"/>
    </row>
    <row r="26" spans="1:47" s="19" customFormat="1" ht="15.75">
      <c r="A26" s="273">
        <v>6</v>
      </c>
      <c r="B26" s="274" t="s">
        <v>162</v>
      </c>
      <c r="C26" s="416"/>
      <c r="D26" s="416"/>
      <c r="E26" s="275">
        <f>F26+G26+X26</f>
        <v>3.5899</v>
      </c>
      <c r="F26" s="276">
        <v>2.34</v>
      </c>
      <c r="G26" s="275">
        <f t="shared" si="13"/>
        <v>0.7</v>
      </c>
      <c r="H26" s="275">
        <v>0.7</v>
      </c>
      <c r="I26" s="275"/>
      <c r="J26" s="275"/>
      <c r="K26" s="275"/>
      <c r="L26" s="270"/>
      <c r="M26" s="270"/>
      <c r="N26" s="270"/>
      <c r="O26" s="270"/>
      <c r="P26" s="270"/>
      <c r="Q26" s="270"/>
      <c r="R26" s="270"/>
      <c r="S26" s="277"/>
      <c r="T26" s="270"/>
      <c r="U26" s="270"/>
      <c r="V26" s="270"/>
      <c r="W26" s="270"/>
      <c r="X26" s="275">
        <f>(F26+I26)*23.5%</f>
        <v>0.5498999999999999</v>
      </c>
      <c r="Y26" s="278">
        <f>ROUNDUP(E26*1490000*12,0)</f>
        <v>64187412</v>
      </c>
      <c r="Z26" s="293"/>
      <c r="AA26" s="294">
        <f t="shared" si="16"/>
        <v>4.7599</v>
      </c>
      <c r="AB26" s="295">
        <v>2.34</v>
      </c>
      <c r="AC26" s="280">
        <f t="shared" si="17"/>
        <v>1.8699999999999999</v>
      </c>
      <c r="AD26" s="282">
        <v>0.7</v>
      </c>
      <c r="AE26" s="284"/>
      <c r="AF26" s="293"/>
      <c r="AG26" s="283">
        <f>(AB26+AE26)*50%</f>
        <v>1.17</v>
      </c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84"/>
      <c r="AS26" s="429">
        <f>(AB26+AE26)*23.5%</f>
        <v>0.5498999999999999</v>
      </c>
      <c r="AT26" s="285">
        <f>AA26*12*1490000</f>
        <v>85107012</v>
      </c>
      <c r="AU26" s="21"/>
    </row>
    <row r="27" spans="1:47" s="24" customFormat="1" ht="15.75">
      <c r="A27" s="273">
        <v>5</v>
      </c>
      <c r="B27" s="274" t="s">
        <v>235</v>
      </c>
      <c r="C27" s="417"/>
      <c r="D27" s="417"/>
      <c r="E27" s="275">
        <f>F27+G27+X27</f>
        <v>4.7599</v>
      </c>
      <c r="F27" s="276">
        <v>2.34</v>
      </c>
      <c r="G27" s="275">
        <f t="shared" si="13"/>
        <v>1.8699999999999999</v>
      </c>
      <c r="H27" s="275">
        <v>0.7</v>
      </c>
      <c r="I27" s="275"/>
      <c r="J27" s="275"/>
      <c r="K27" s="275">
        <f>(F27+I27+J27)*0.5</f>
        <v>1.17</v>
      </c>
      <c r="L27" s="275"/>
      <c r="M27" s="275"/>
      <c r="N27" s="275"/>
      <c r="O27" s="275"/>
      <c r="P27" s="275"/>
      <c r="Q27" s="275"/>
      <c r="R27" s="275"/>
      <c r="S27" s="276"/>
      <c r="T27" s="275"/>
      <c r="U27" s="275"/>
      <c r="V27" s="275"/>
      <c r="W27" s="275"/>
      <c r="X27" s="275">
        <f>(F27+I27+J27+M27)*0.235</f>
        <v>0.5498999999999999</v>
      </c>
      <c r="Y27" s="278">
        <f>E27*1490000*12</f>
        <v>85107012</v>
      </c>
      <c r="Z27" s="293"/>
      <c r="AA27" s="294">
        <f t="shared" si="16"/>
        <v>6.47755</v>
      </c>
      <c r="AB27" s="295">
        <v>3.33</v>
      </c>
      <c r="AC27" s="280">
        <f t="shared" si="17"/>
        <v>2.365</v>
      </c>
      <c r="AD27" s="282">
        <v>0.7</v>
      </c>
      <c r="AE27" s="284"/>
      <c r="AF27" s="293"/>
      <c r="AG27" s="283">
        <f>(AB27+AE27)*50%</f>
        <v>1.665</v>
      </c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84"/>
      <c r="AS27" s="429">
        <f>(AB27+AE27)*23.5%</f>
        <v>0.78255</v>
      </c>
      <c r="AT27" s="285">
        <f>AA27*12*1490000</f>
        <v>115818594</v>
      </c>
      <c r="AU27" s="20"/>
    </row>
    <row r="28" spans="1:75" ht="15.75">
      <c r="A28" s="266">
        <v>6</v>
      </c>
      <c r="B28" s="267" t="s">
        <v>161</v>
      </c>
      <c r="C28" s="415"/>
      <c r="D28" s="415"/>
      <c r="E28" s="275"/>
      <c r="F28" s="297"/>
      <c r="G28" s="275"/>
      <c r="H28" s="296"/>
      <c r="I28" s="296"/>
      <c r="J28" s="296"/>
      <c r="K28" s="275"/>
      <c r="L28" s="296"/>
      <c r="M28" s="296"/>
      <c r="N28" s="296"/>
      <c r="O28" s="296"/>
      <c r="P28" s="296"/>
      <c r="Q28" s="296"/>
      <c r="R28" s="296"/>
      <c r="S28" s="298"/>
      <c r="T28" s="296"/>
      <c r="U28" s="296"/>
      <c r="V28" s="296"/>
      <c r="W28" s="296"/>
      <c r="X28" s="275"/>
      <c r="Y28" s="278"/>
      <c r="Z28" s="293"/>
      <c r="AA28" s="294">
        <f t="shared" si="16"/>
        <v>4.4741</v>
      </c>
      <c r="AB28" s="295">
        <v>2.06</v>
      </c>
      <c r="AC28" s="280">
        <f t="shared" si="17"/>
        <v>1.93</v>
      </c>
      <c r="AD28" s="282">
        <v>0.7</v>
      </c>
      <c r="AE28" s="284"/>
      <c r="AF28" s="293"/>
      <c r="AG28" s="283">
        <f>(AB28+AE28)*50%</f>
        <v>1.03</v>
      </c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84">
        <v>0.2</v>
      </c>
      <c r="AS28" s="429">
        <f>(AB28+AE28)*23.5%</f>
        <v>0.4841</v>
      </c>
      <c r="AT28" s="285">
        <f>AA28*12*1490000</f>
        <v>79996908</v>
      </c>
      <c r="AU28" s="21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 ht="15.75">
      <c r="A29" s="266">
        <v>7</v>
      </c>
      <c r="B29" s="267" t="s">
        <v>160</v>
      </c>
      <c r="C29" s="415"/>
      <c r="D29" s="415"/>
      <c r="E29" s="275"/>
      <c r="F29" s="297"/>
      <c r="G29" s="275"/>
      <c r="H29" s="296"/>
      <c r="I29" s="296"/>
      <c r="J29" s="296"/>
      <c r="K29" s="275"/>
      <c r="L29" s="296"/>
      <c r="M29" s="296"/>
      <c r="N29" s="296"/>
      <c r="O29" s="296"/>
      <c r="P29" s="296"/>
      <c r="Q29" s="296"/>
      <c r="R29" s="296"/>
      <c r="S29" s="298"/>
      <c r="T29" s="296"/>
      <c r="U29" s="296"/>
      <c r="V29" s="296"/>
      <c r="W29" s="296"/>
      <c r="X29" s="275"/>
      <c r="Y29" s="278"/>
      <c r="Z29" s="299"/>
      <c r="AA29" s="294">
        <f t="shared" si="16"/>
        <v>2.8899</v>
      </c>
      <c r="AB29" s="300">
        <v>2.34</v>
      </c>
      <c r="AC29" s="280">
        <f t="shared" si="17"/>
        <v>0</v>
      </c>
      <c r="AD29" s="301"/>
      <c r="AE29" s="302"/>
      <c r="AF29" s="299"/>
      <c r="AG29" s="283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302"/>
      <c r="AS29" s="432">
        <f t="shared" si="18"/>
        <v>0.5498999999999999</v>
      </c>
      <c r="AT29" s="285">
        <f>AA29*12*1490000</f>
        <v>51671411.99999999</v>
      </c>
      <c r="AU29" s="21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 ht="15.75">
      <c r="A30" s="266">
        <v>8</v>
      </c>
      <c r="B30" s="267" t="s">
        <v>8</v>
      </c>
      <c r="C30" s="415"/>
      <c r="D30" s="415"/>
      <c r="E30" s="270">
        <f aca="true" t="shared" si="19" ref="E30:U30">E31</f>
        <v>27.261950000000002</v>
      </c>
      <c r="F30" s="277">
        <f t="shared" si="19"/>
        <v>14.37</v>
      </c>
      <c r="G30" s="270">
        <f t="shared" si="19"/>
        <v>9.515</v>
      </c>
      <c r="H30" s="270">
        <f t="shared" si="19"/>
        <v>3.5</v>
      </c>
      <c r="I30" s="270">
        <f t="shared" si="19"/>
        <v>0</v>
      </c>
      <c r="J30" s="270">
        <f t="shared" si="19"/>
        <v>0</v>
      </c>
      <c r="K30" s="270">
        <f t="shared" si="19"/>
        <v>6.015</v>
      </c>
      <c r="L30" s="270">
        <f t="shared" si="19"/>
        <v>0</v>
      </c>
      <c r="M30" s="270">
        <f t="shared" si="19"/>
        <v>0</v>
      </c>
      <c r="N30" s="270">
        <f t="shared" si="19"/>
        <v>0</v>
      </c>
      <c r="O30" s="270">
        <f t="shared" si="19"/>
        <v>0</v>
      </c>
      <c r="P30" s="270">
        <f t="shared" si="19"/>
        <v>0</v>
      </c>
      <c r="Q30" s="270">
        <f t="shared" si="19"/>
        <v>0</v>
      </c>
      <c r="R30" s="270">
        <f t="shared" si="19"/>
        <v>0</v>
      </c>
      <c r="S30" s="270">
        <f t="shared" si="19"/>
        <v>0</v>
      </c>
      <c r="T30" s="270">
        <f t="shared" si="19"/>
        <v>0</v>
      </c>
      <c r="U30" s="270">
        <f t="shared" si="19"/>
        <v>0</v>
      </c>
      <c r="V30" s="270"/>
      <c r="W30" s="270">
        <f>W31</f>
        <v>0</v>
      </c>
      <c r="X30" s="270">
        <f>X31</f>
        <v>3.37695</v>
      </c>
      <c r="Y30" s="271">
        <f>Y31</f>
        <v>487444000</v>
      </c>
      <c r="Z30" s="291">
        <v>6</v>
      </c>
      <c r="AA30" s="291">
        <f>SUM(AA31:AA37)</f>
        <v>32.5944</v>
      </c>
      <c r="AB30" s="291">
        <f>SUM(AB31:AB37)</f>
        <v>17.04</v>
      </c>
      <c r="AC30" s="291">
        <f aca="true" t="shared" si="20" ref="AC30:AS30">SUM(AC31:AC37)</f>
        <v>11.549999999999999</v>
      </c>
      <c r="AD30" s="291">
        <f t="shared" si="20"/>
        <v>4.2</v>
      </c>
      <c r="AE30" s="291">
        <f t="shared" si="20"/>
        <v>0</v>
      </c>
      <c r="AF30" s="291">
        <f t="shared" si="20"/>
        <v>0</v>
      </c>
      <c r="AG30" s="291">
        <f t="shared" si="20"/>
        <v>7.35</v>
      </c>
      <c r="AH30" s="291">
        <f t="shared" si="20"/>
        <v>0</v>
      </c>
      <c r="AI30" s="291">
        <f t="shared" si="20"/>
        <v>0</v>
      </c>
      <c r="AJ30" s="291">
        <f t="shared" si="20"/>
        <v>0</v>
      </c>
      <c r="AK30" s="291">
        <f t="shared" si="20"/>
        <v>0</v>
      </c>
      <c r="AL30" s="291">
        <f t="shared" si="20"/>
        <v>0</v>
      </c>
      <c r="AM30" s="291">
        <f t="shared" si="20"/>
        <v>0</v>
      </c>
      <c r="AN30" s="291">
        <f t="shared" si="20"/>
        <v>0</v>
      </c>
      <c r="AO30" s="291">
        <f t="shared" si="20"/>
        <v>0</v>
      </c>
      <c r="AP30" s="291">
        <f t="shared" si="20"/>
        <v>0</v>
      </c>
      <c r="AQ30" s="291">
        <f t="shared" si="20"/>
        <v>0</v>
      </c>
      <c r="AR30" s="291">
        <f t="shared" si="20"/>
        <v>0</v>
      </c>
      <c r="AS30" s="430">
        <f t="shared" si="20"/>
        <v>4.0043999999999995</v>
      </c>
      <c r="AT30" s="454">
        <f>SUM(AT31:AT37)</f>
        <v>494268462</v>
      </c>
      <c r="AU30" s="21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 ht="15.75">
      <c r="A31" s="287" t="s">
        <v>159</v>
      </c>
      <c r="B31" s="288" t="s">
        <v>158</v>
      </c>
      <c r="C31" s="416">
        <v>6</v>
      </c>
      <c r="D31" s="416">
        <v>5</v>
      </c>
      <c r="E31" s="270">
        <f aca="true" t="shared" si="21" ref="E31:X31">SUM(E32:E37)</f>
        <v>27.261950000000002</v>
      </c>
      <c r="F31" s="270">
        <f>SUM(F32:F37)</f>
        <v>14.37</v>
      </c>
      <c r="G31" s="270">
        <f t="shared" si="21"/>
        <v>9.515</v>
      </c>
      <c r="H31" s="270">
        <f t="shared" si="21"/>
        <v>3.5</v>
      </c>
      <c r="I31" s="270">
        <f t="shared" si="21"/>
        <v>0</v>
      </c>
      <c r="J31" s="270">
        <f t="shared" si="21"/>
        <v>0</v>
      </c>
      <c r="K31" s="270">
        <f t="shared" si="21"/>
        <v>6.015</v>
      </c>
      <c r="L31" s="270">
        <f t="shared" si="21"/>
        <v>0</v>
      </c>
      <c r="M31" s="270">
        <f t="shared" si="21"/>
        <v>0</v>
      </c>
      <c r="N31" s="270">
        <f t="shared" si="21"/>
        <v>0</v>
      </c>
      <c r="O31" s="270">
        <f t="shared" si="21"/>
        <v>0</v>
      </c>
      <c r="P31" s="270">
        <f t="shared" si="21"/>
        <v>0</v>
      </c>
      <c r="Q31" s="270">
        <f t="shared" si="21"/>
        <v>0</v>
      </c>
      <c r="R31" s="270">
        <f t="shared" si="21"/>
        <v>0</v>
      </c>
      <c r="S31" s="270">
        <f t="shared" si="21"/>
        <v>0</v>
      </c>
      <c r="T31" s="270">
        <f t="shared" si="21"/>
        <v>0</v>
      </c>
      <c r="U31" s="270">
        <f t="shared" si="21"/>
        <v>0</v>
      </c>
      <c r="V31" s="270">
        <f t="shared" si="21"/>
        <v>0</v>
      </c>
      <c r="W31" s="270">
        <f t="shared" si="21"/>
        <v>0</v>
      </c>
      <c r="X31" s="270">
        <f t="shared" si="21"/>
        <v>3.37695</v>
      </c>
      <c r="Y31" s="270">
        <f>ROUNDUP(SUM(Y32:Y37),-3)</f>
        <v>487444000</v>
      </c>
      <c r="Z31" s="302"/>
      <c r="AA31" s="303">
        <f>AB31+AC31+AS31</f>
        <v>4.7599</v>
      </c>
      <c r="AB31" s="303">
        <v>2.34</v>
      </c>
      <c r="AC31" s="303">
        <f aca="true" t="shared" si="22" ref="AC31:AC37">SUM(AD31:AR31)</f>
        <v>1.8699999999999999</v>
      </c>
      <c r="AD31" s="302">
        <v>0.7</v>
      </c>
      <c r="AE31" s="302"/>
      <c r="AF31" s="302"/>
      <c r="AG31" s="303">
        <f aca="true" t="shared" si="23" ref="AG31:AG36">AB31*50%</f>
        <v>1.17</v>
      </c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433">
        <f aca="true" t="shared" si="24" ref="AS31:AS36">AB31*23.5%</f>
        <v>0.5498999999999999</v>
      </c>
      <c r="AT31" s="284">
        <f>AA31*4*1490000</f>
        <v>28369004</v>
      </c>
      <c r="AU31" s="21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 ht="15.75">
      <c r="A32" s="273">
        <v>1</v>
      </c>
      <c r="B32" s="274" t="s">
        <v>157</v>
      </c>
      <c r="C32" s="417"/>
      <c r="D32" s="417"/>
      <c r="E32" s="275">
        <f aca="true" t="shared" si="25" ref="E32:E37">F32+G32+X32</f>
        <v>4.7599</v>
      </c>
      <c r="F32" s="276">
        <v>2.34</v>
      </c>
      <c r="G32" s="275">
        <f aca="true" t="shared" si="26" ref="G32:G37">SUM(H32:W32)</f>
        <v>1.8699999999999999</v>
      </c>
      <c r="H32" s="275">
        <v>0.7</v>
      </c>
      <c r="I32" s="275"/>
      <c r="J32" s="275"/>
      <c r="K32" s="275">
        <f>(F32+I32+J32)*0.5</f>
        <v>1.17</v>
      </c>
      <c r="L32" s="275"/>
      <c r="M32" s="275"/>
      <c r="N32" s="275"/>
      <c r="O32" s="275"/>
      <c r="P32" s="275"/>
      <c r="Q32" s="275"/>
      <c r="R32" s="275"/>
      <c r="S32" s="276"/>
      <c r="T32" s="275"/>
      <c r="U32" s="275"/>
      <c r="V32" s="275"/>
      <c r="W32" s="275"/>
      <c r="X32" s="275">
        <f aca="true" t="shared" si="27" ref="X32:X37">(F32+I32+J32+M32)*0.235</f>
        <v>0.5498999999999999</v>
      </c>
      <c r="Y32" s="278">
        <f aca="true" t="shared" si="28" ref="Y32:Y37">E32*1490000*12</f>
        <v>85107012</v>
      </c>
      <c r="Z32" s="284"/>
      <c r="AA32" s="303">
        <f aca="true" t="shared" si="29" ref="AA32:AA37">AB32+AC32+AS32</f>
        <v>5.33245</v>
      </c>
      <c r="AB32" s="303">
        <v>2.67</v>
      </c>
      <c r="AC32" s="303">
        <f t="shared" si="22"/>
        <v>2.035</v>
      </c>
      <c r="AD32" s="303">
        <v>0.7</v>
      </c>
      <c r="AE32" s="303"/>
      <c r="AF32" s="303"/>
      <c r="AG32" s="303">
        <f t="shared" si="23"/>
        <v>1.335</v>
      </c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433">
        <f t="shared" si="24"/>
        <v>0.62745</v>
      </c>
      <c r="AT32" s="304">
        <f>AA32*8*1490000</f>
        <v>63562804</v>
      </c>
      <c r="AU32" s="21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ht="15.75">
      <c r="A33" s="273">
        <v>2</v>
      </c>
      <c r="B33" s="274" t="s">
        <v>156</v>
      </c>
      <c r="C33" s="417"/>
      <c r="D33" s="417"/>
      <c r="E33" s="275">
        <f t="shared" si="25"/>
        <v>5.33245</v>
      </c>
      <c r="F33" s="276">
        <v>2.67</v>
      </c>
      <c r="G33" s="275">
        <f t="shared" si="26"/>
        <v>2.035</v>
      </c>
      <c r="H33" s="275">
        <v>0.7</v>
      </c>
      <c r="I33" s="275"/>
      <c r="J33" s="275"/>
      <c r="K33" s="275">
        <f>(F33+I33+J33)*0.5</f>
        <v>1.335</v>
      </c>
      <c r="L33" s="275"/>
      <c r="M33" s="275"/>
      <c r="N33" s="275"/>
      <c r="O33" s="275"/>
      <c r="P33" s="275"/>
      <c r="Q33" s="275"/>
      <c r="R33" s="275"/>
      <c r="S33" s="276"/>
      <c r="T33" s="275"/>
      <c r="U33" s="275"/>
      <c r="V33" s="275"/>
      <c r="W33" s="275"/>
      <c r="X33" s="275">
        <f t="shared" si="27"/>
        <v>0.62745</v>
      </c>
      <c r="Y33" s="278">
        <f t="shared" si="28"/>
        <v>95344206</v>
      </c>
      <c r="Z33" s="305"/>
      <c r="AA33" s="303">
        <f t="shared" si="29"/>
        <v>5.33245</v>
      </c>
      <c r="AB33" s="303">
        <v>2.67</v>
      </c>
      <c r="AC33" s="303">
        <f t="shared" si="22"/>
        <v>2.035</v>
      </c>
      <c r="AD33" s="303">
        <v>0.7</v>
      </c>
      <c r="AE33" s="306"/>
      <c r="AF33" s="306"/>
      <c r="AG33" s="303">
        <f t="shared" si="23"/>
        <v>1.335</v>
      </c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433">
        <f t="shared" si="24"/>
        <v>0.62745</v>
      </c>
      <c r="AT33" s="304">
        <f>AA33*12*1490000</f>
        <v>95344206</v>
      </c>
      <c r="AU33" s="21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 ht="15.75">
      <c r="A34" s="273">
        <v>3</v>
      </c>
      <c r="B34" s="274" t="s">
        <v>155</v>
      </c>
      <c r="C34" s="417"/>
      <c r="D34" s="417"/>
      <c r="E34" s="275">
        <f t="shared" si="25"/>
        <v>4.7599</v>
      </c>
      <c r="F34" s="276">
        <v>2.34</v>
      </c>
      <c r="G34" s="275">
        <f t="shared" si="26"/>
        <v>1.8699999999999999</v>
      </c>
      <c r="H34" s="275">
        <v>0.7</v>
      </c>
      <c r="I34" s="275"/>
      <c r="J34" s="275"/>
      <c r="K34" s="275">
        <f>(F34+I34+J34)*0.5</f>
        <v>1.17</v>
      </c>
      <c r="L34" s="275"/>
      <c r="M34" s="275"/>
      <c r="N34" s="275"/>
      <c r="O34" s="275"/>
      <c r="P34" s="275"/>
      <c r="Q34" s="275"/>
      <c r="R34" s="275"/>
      <c r="S34" s="276"/>
      <c r="T34" s="275"/>
      <c r="U34" s="275"/>
      <c r="V34" s="275"/>
      <c r="W34" s="275"/>
      <c r="X34" s="275">
        <f t="shared" si="27"/>
        <v>0.5498999999999999</v>
      </c>
      <c r="Y34" s="278">
        <f t="shared" si="28"/>
        <v>85107012</v>
      </c>
      <c r="Z34" s="284"/>
      <c r="AA34" s="303">
        <f t="shared" si="29"/>
        <v>4.7599</v>
      </c>
      <c r="AB34" s="303">
        <v>2.34</v>
      </c>
      <c r="AC34" s="303">
        <f t="shared" si="22"/>
        <v>1.8699999999999999</v>
      </c>
      <c r="AD34" s="303">
        <v>0.7</v>
      </c>
      <c r="AE34" s="284"/>
      <c r="AF34" s="284"/>
      <c r="AG34" s="303">
        <f t="shared" si="23"/>
        <v>1.17</v>
      </c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433">
        <f t="shared" si="24"/>
        <v>0.5498999999999999</v>
      </c>
      <c r="AT34" s="304">
        <f>AA34*12*1490000</f>
        <v>85107012</v>
      </c>
      <c r="AU34" s="21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</row>
    <row r="35" spans="1:75" ht="15.75">
      <c r="A35" s="273">
        <v>4</v>
      </c>
      <c r="B35" s="274" t="s">
        <v>154</v>
      </c>
      <c r="C35" s="417"/>
      <c r="D35" s="417"/>
      <c r="E35" s="275">
        <f t="shared" si="25"/>
        <v>4.7599</v>
      </c>
      <c r="F35" s="276">
        <v>2.34</v>
      </c>
      <c r="G35" s="275">
        <f t="shared" si="26"/>
        <v>1.8699999999999999</v>
      </c>
      <c r="H35" s="275">
        <v>0.7</v>
      </c>
      <c r="I35" s="275"/>
      <c r="J35" s="275"/>
      <c r="K35" s="275">
        <f>(F35+I35+J35)*0.5</f>
        <v>1.17</v>
      </c>
      <c r="L35" s="275"/>
      <c r="M35" s="275"/>
      <c r="N35" s="275"/>
      <c r="O35" s="275"/>
      <c r="P35" s="275"/>
      <c r="Q35" s="275"/>
      <c r="R35" s="275"/>
      <c r="S35" s="276"/>
      <c r="T35" s="275"/>
      <c r="U35" s="275"/>
      <c r="V35" s="275"/>
      <c r="W35" s="275"/>
      <c r="X35" s="275">
        <f t="shared" si="27"/>
        <v>0.5498999999999999</v>
      </c>
      <c r="Y35" s="278">
        <f t="shared" si="28"/>
        <v>85107012</v>
      </c>
      <c r="Z35" s="284"/>
      <c r="AA35" s="303">
        <f t="shared" si="29"/>
        <v>4.7599</v>
      </c>
      <c r="AB35" s="303">
        <v>2.34</v>
      </c>
      <c r="AC35" s="303">
        <f t="shared" si="22"/>
        <v>1.8699999999999999</v>
      </c>
      <c r="AD35" s="303">
        <v>0.7</v>
      </c>
      <c r="AE35" s="284"/>
      <c r="AF35" s="284"/>
      <c r="AG35" s="303">
        <f t="shared" si="23"/>
        <v>1.17</v>
      </c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433">
        <f t="shared" si="24"/>
        <v>0.5498999999999999</v>
      </c>
      <c r="AT35" s="304">
        <f>AA35*12*1490000</f>
        <v>85107012</v>
      </c>
      <c r="AU35" s="21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</row>
    <row r="36" spans="1:75" ht="15.75">
      <c r="A36" s="273">
        <v>5</v>
      </c>
      <c r="B36" s="274" t="s">
        <v>153</v>
      </c>
      <c r="C36" s="417"/>
      <c r="D36" s="417"/>
      <c r="E36" s="275">
        <f t="shared" si="25"/>
        <v>4.7599</v>
      </c>
      <c r="F36" s="276">
        <v>2.34</v>
      </c>
      <c r="G36" s="275">
        <f t="shared" si="26"/>
        <v>1.8699999999999999</v>
      </c>
      <c r="H36" s="275">
        <v>0.7</v>
      </c>
      <c r="I36" s="275"/>
      <c r="J36" s="275"/>
      <c r="K36" s="275">
        <f>(F36+I36+J36)*0.5</f>
        <v>1.17</v>
      </c>
      <c r="L36" s="275"/>
      <c r="M36" s="275"/>
      <c r="N36" s="275"/>
      <c r="O36" s="275"/>
      <c r="P36" s="275"/>
      <c r="Q36" s="275"/>
      <c r="R36" s="275"/>
      <c r="S36" s="276"/>
      <c r="T36" s="275"/>
      <c r="U36" s="275"/>
      <c r="V36" s="275"/>
      <c r="W36" s="275"/>
      <c r="X36" s="275">
        <f t="shared" si="27"/>
        <v>0.5498999999999999</v>
      </c>
      <c r="Y36" s="278">
        <f t="shared" si="28"/>
        <v>85107012</v>
      </c>
      <c r="Z36" s="284"/>
      <c r="AA36" s="303">
        <f t="shared" si="29"/>
        <v>4.7599</v>
      </c>
      <c r="AB36" s="303">
        <v>2.34</v>
      </c>
      <c r="AC36" s="303">
        <f t="shared" si="22"/>
        <v>1.8699999999999999</v>
      </c>
      <c r="AD36" s="303">
        <v>0.7</v>
      </c>
      <c r="AE36" s="284"/>
      <c r="AF36" s="284"/>
      <c r="AG36" s="303">
        <f t="shared" si="23"/>
        <v>1.17</v>
      </c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433">
        <f t="shared" si="24"/>
        <v>0.5498999999999999</v>
      </c>
      <c r="AT36" s="304">
        <f>AA36*12*1490000</f>
        <v>85107012</v>
      </c>
      <c r="AU36" s="21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5" ht="15.75">
      <c r="A37" s="273">
        <v>6</v>
      </c>
      <c r="B37" s="274" t="s">
        <v>142</v>
      </c>
      <c r="C37" s="417"/>
      <c r="D37" s="417"/>
      <c r="E37" s="275">
        <f t="shared" si="25"/>
        <v>2.8899</v>
      </c>
      <c r="F37" s="276">
        <f>1*2.34</f>
        <v>2.34</v>
      </c>
      <c r="G37" s="275">
        <f t="shared" si="26"/>
        <v>0</v>
      </c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6"/>
      <c r="T37" s="275"/>
      <c r="U37" s="275"/>
      <c r="V37" s="275"/>
      <c r="W37" s="275"/>
      <c r="X37" s="275">
        <f t="shared" si="27"/>
        <v>0.5498999999999999</v>
      </c>
      <c r="Y37" s="278">
        <f t="shared" si="28"/>
        <v>51671412</v>
      </c>
      <c r="Z37" s="284"/>
      <c r="AA37" s="303">
        <f t="shared" si="29"/>
        <v>2.8899</v>
      </c>
      <c r="AB37" s="284">
        <v>2.34</v>
      </c>
      <c r="AC37" s="303">
        <f t="shared" si="22"/>
        <v>0</v>
      </c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433">
        <f>AB37*23.5%</f>
        <v>0.5498999999999999</v>
      </c>
      <c r="AT37" s="304">
        <f>AA37*12*1490000</f>
        <v>51671411.99999999</v>
      </c>
      <c r="AU37" s="21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75" ht="31.5">
      <c r="A38" s="266">
        <v>9</v>
      </c>
      <c r="B38" s="267" t="s">
        <v>152</v>
      </c>
      <c r="C38" s="415"/>
      <c r="D38" s="415"/>
      <c r="E38" s="263">
        <f aca="true" t="shared" si="30" ref="E38:Y38">E39+E87</f>
        <v>635.8915</v>
      </c>
      <c r="F38" s="263">
        <f t="shared" si="30"/>
        <v>267.26</v>
      </c>
      <c r="G38" s="263">
        <f t="shared" si="30"/>
        <v>305.192</v>
      </c>
      <c r="H38" s="263">
        <f t="shared" si="30"/>
        <v>48.29999999999999</v>
      </c>
      <c r="I38" s="263">
        <f t="shared" si="30"/>
        <v>13.8</v>
      </c>
      <c r="J38" s="263">
        <f t="shared" si="30"/>
        <v>0</v>
      </c>
      <c r="K38" s="263">
        <f t="shared" si="30"/>
        <v>126.49000000000001</v>
      </c>
      <c r="L38" s="263">
        <f t="shared" si="30"/>
        <v>0</v>
      </c>
      <c r="M38" s="263">
        <f t="shared" si="30"/>
        <v>0.512</v>
      </c>
      <c r="N38" s="263">
        <f t="shared" si="30"/>
        <v>0</v>
      </c>
      <c r="O38" s="263">
        <f t="shared" si="30"/>
        <v>63.245000000000005</v>
      </c>
      <c r="P38" s="263">
        <f t="shared" si="30"/>
        <v>0</v>
      </c>
      <c r="Q38" s="263">
        <f t="shared" si="30"/>
        <v>0</v>
      </c>
      <c r="R38" s="263">
        <f t="shared" si="30"/>
        <v>0</v>
      </c>
      <c r="S38" s="263">
        <f t="shared" si="30"/>
        <v>0</v>
      </c>
      <c r="T38" s="263">
        <f t="shared" si="30"/>
        <v>44.53799999999998</v>
      </c>
      <c r="U38" s="263">
        <f t="shared" si="30"/>
        <v>1.835</v>
      </c>
      <c r="V38" s="263">
        <f t="shared" si="30"/>
        <v>0</v>
      </c>
      <c r="W38" s="263">
        <f t="shared" si="30"/>
        <v>5.4399999999999995</v>
      </c>
      <c r="X38" s="263">
        <f t="shared" si="30"/>
        <v>63.43950000000001</v>
      </c>
      <c r="Y38" s="264">
        <f t="shared" si="30"/>
        <v>12071319704</v>
      </c>
      <c r="Z38" s="272"/>
      <c r="AA38" s="272">
        <f>AA39+AA55+AA63+AA71+AA78+AA87+AA83</f>
        <v>303.786</v>
      </c>
      <c r="AB38" s="272">
        <f aca="true" t="shared" si="31" ref="AB38:AT38">AB39+AB55+AB63+AB71+AB78+AB87+AB83</f>
        <v>138.46</v>
      </c>
      <c r="AC38" s="272">
        <f t="shared" si="31"/>
        <v>132.485</v>
      </c>
      <c r="AD38" s="272">
        <f t="shared" si="31"/>
        <v>23.799999999999997</v>
      </c>
      <c r="AE38" s="272">
        <f t="shared" si="31"/>
        <v>7.500000000000001</v>
      </c>
      <c r="AF38" s="272">
        <f t="shared" si="31"/>
        <v>0</v>
      </c>
      <c r="AG38" s="272">
        <f t="shared" si="31"/>
        <v>65.96</v>
      </c>
      <c r="AH38" s="272">
        <f t="shared" si="31"/>
        <v>0</v>
      </c>
      <c r="AI38" s="272">
        <f t="shared" si="31"/>
        <v>0</v>
      </c>
      <c r="AJ38" s="272">
        <f t="shared" si="31"/>
        <v>0</v>
      </c>
      <c r="AK38" s="272">
        <f t="shared" si="31"/>
        <v>32.98</v>
      </c>
      <c r="AL38" s="272">
        <f t="shared" si="31"/>
        <v>0</v>
      </c>
      <c r="AM38" s="272">
        <f t="shared" si="31"/>
        <v>0</v>
      </c>
      <c r="AN38" s="272">
        <f t="shared" si="31"/>
        <v>0.6</v>
      </c>
      <c r="AO38" s="272">
        <f t="shared" si="31"/>
        <v>0</v>
      </c>
      <c r="AP38" s="272">
        <f t="shared" si="31"/>
        <v>0</v>
      </c>
      <c r="AQ38" s="272">
        <f t="shared" si="31"/>
        <v>0.4850000000000001</v>
      </c>
      <c r="AR38" s="272">
        <f t="shared" si="31"/>
        <v>1.16</v>
      </c>
      <c r="AS38" s="427">
        <f t="shared" si="31"/>
        <v>32.841</v>
      </c>
      <c r="AT38" s="379">
        <f t="shared" si="31"/>
        <v>4747180030</v>
      </c>
      <c r="AU38" s="21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</row>
    <row r="39" spans="1:75" ht="15.75">
      <c r="A39" s="266" t="s">
        <v>151</v>
      </c>
      <c r="B39" s="267" t="s">
        <v>150</v>
      </c>
      <c r="C39" s="415"/>
      <c r="D39" s="415"/>
      <c r="E39" s="264">
        <f aca="true" t="shared" si="32" ref="E39:Y39">E40+E48+E55+E58+E63+E68+E73+E79+E84+0</f>
        <v>244.85099999999997</v>
      </c>
      <c r="F39" s="264">
        <f t="shared" si="32"/>
        <v>112.96000000000001</v>
      </c>
      <c r="G39" s="264">
        <f t="shared" si="32"/>
        <v>105.215</v>
      </c>
      <c r="H39" s="264">
        <f t="shared" si="32"/>
        <v>18.900000000000002</v>
      </c>
      <c r="I39" s="264">
        <f t="shared" si="32"/>
        <v>5.6000000000000005</v>
      </c>
      <c r="J39" s="264">
        <f t="shared" si="32"/>
        <v>0</v>
      </c>
      <c r="K39" s="264">
        <f t="shared" si="32"/>
        <v>52.260000000000005</v>
      </c>
      <c r="L39" s="264">
        <f t="shared" si="32"/>
        <v>0</v>
      </c>
      <c r="M39" s="264">
        <f t="shared" si="32"/>
        <v>0</v>
      </c>
      <c r="N39" s="264">
        <f t="shared" si="32"/>
        <v>0</v>
      </c>
      <c r="O39" s="264">
        <f t="shared" si="32"/>
        <v>26.130000000000003</v>
      </c>
      <c r="P39" s="264">
        <f t="shared" si="32"/>
        <v>0</v>
      </c>
      <c r="Q39" s="264">
        <f t="shared" si="32"/>
        <v>0</v>
      </c>
      <c r="R39" s="264">
        <f t="shared" si="32"/>
        <v>0</v>
      </c>
      <c r="S39" s="264">
        <f t="shared" si="32"/>
        <v>0</v>
      </c>
      <c r="T39" s="264">
        <f t="shared" si="32"/>
        <v>0</v>
      </c>
      <c r="U39" s="264">
        <f t="shared" si="32"/>
        <v>1.385</v>
      </c>
      <c r="V39" s="264">
        <f t="shared" si="32"/>
        <v>0</v>
      </c>
      <c r="W39" s="264">
        <f t="shared" si="32"/>
        <v>0.94</v>
      </c>
      <c r="X39" s="264">
        <f t="shared" si="32"/>
        <v>26.676000000000002</v>
      </c>
      <c r="Y39" s="264">
        <f t="shared" si="32"/>
        <v>5079515500</v>
      </c>
      <c r="Z39" s="291"/>
      <c r="AA39" s="291">
        <f>AA40</f>
        <v>82.86</v>
      </c>
      <c r="AB39" s="291">
        <f aca="true" t="shared" si="33" ref="AB39:AS39">AB40</f>
        <v>34.400000000000006</v>
      </c>
      <c r="AC39" s="291">
        <f t="shared" si="33"/>
        <v>39.82</v>
      </c>
      <c r="AD39" s="291">
        <f t="shared" si="33"/>
        <v>6.300000000000001</v>
      </c>
      <c r="AE39" s="291">
        <f t="shared" si="33"/>
        <v>4.000000000000001</v>
      </c>
      <c r="AF39" s="291">
        <f t="shared" si="33"/>
        <v>0</v>
      </c>
      <c r="AG39" s="291">
        <f t="shared" si="33"/>
        <v>19.2</v>
      </c>
      <c r="AH39" s="291">
        <f t="shared" si="33"/>
        <v>0</v>
      </c>
      <c r="AI39" s="291">
        <f t="shared" si="33"/>
        <v>0</v>
      </c>
      <c r="AJ39" s="291">
        <f t="shared" si="33"/>
        <v>0</v>
      </c>
      <c r="AK39" s="291">
        <f t="shared" si="33"/>
        <v>9.6</v>
      </c>
      <c r="AL39" s="291">
        <f t="shared" si="33"/>
        <v>0</v>
      </c>
      <c r="AM39" s="291">
        <f t="shared" si="33"/>
        <v>0</v>
      </c>
      <c r="AN39" s="291">
        <f t="shared" si="33"/>
        <v>0</v>
      </c>
      <c r="AO39" s="291">
        <f t="shared" si="33"/>
        <v>0</v>
      </c>
      <c r="AP39" s="291">
        <f t="shared" si="33"/>
        <v>0</v>
      </c>
      <c r="AQ39" s="291">
        <f t="shared" si="33"/>
        <v>0</v>
      </c>
      <c r="AR39" s="291">
        <f t="shared" si="33"/>
        <v>0.72</v>
      </c>
      <c r="AS39" s="430">
        <f t="shared" si="33"/>
        <v>8.64</v>
      </c>
      <c r="AT39" s="453">
        <f>AT40+AT50</f>
        <v>1325507152.5</v>
      </c>
      <c r="AU39" s="21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75" ht="15.75">
      <c r="A40" s="287" t="s">
        <v>149</v>
      </c>
      <c r="B40" s="288" t="s">
        <v>148</v>
      </c>
      <c r="C40" s="416">
        <v>6</v>
      </c>
      <c r="D40" s="416">
        <v>6</v>
      </c>
      <c r="E40" s="270">
        <f aca="true" t="shared" si="34" ref="E40:X40">SUM(E41:E47)</f>
        <v>62.33025</v>
      </c>
      <c r="F40" s="270">
        <f t="shared" si="34"/>
        <v>26.190000000000005</v>
      </c>
      <c r="G40" s="270">
        <f t="shared" si="34"/>
        <v>29.5725</v>
      </c>
      <c r="H40" s="270">
        <f t="shared" si="34"/>
        <v>4.2</v>
      </c>
      <c r="I40" s="270">
        <f t="shared" si="34"/>
        <v>3</v>
      </c>
      <c r="J40" s="270">
        <f t="shared" si="34"/>
        <v>0</v>
      </c>
      <c r="K40" s="270">
        <f t="shared" si="34"/>
        <v>14.595</v>
      </c>
      <c r="L40" s="270">
        <f t="shared" si="34"/>
        <v>0</v>
      </c>
      <c r="M40" s="270">
        <f t="shared" si="34"/>
        <v>0</v>
      </c>
      <c r="N40" s="270">
        <f t="shared" si="34"/>
        <v>0</v>
      </c>
      <c r="O40" s="270">
        <f t="shared" si="34"/>
        <v>7.2975</v>
      </c>
      <c r="P40" s="270">
        <f t="shared" si="34"/>
        <v>0</v>
      </c>
      <c r="Q40" s="270">
        <f t="shared" si="34"/>
        <v>0</v>
      </c>
      <c r="R40" s="270">
        <f t="shared" si="34"/>
        <v>0</v>
      </c>
      <c r="S40" s="270">
        <f t="shared" si="34"/>
        <v>0</v>
      </c>
      <c r="T40" s="270">
        <f t="shared" si="34"/>
        <v>0</v>
      </c>
      <c r="U40" s="270">
        <f t="shared" si="34"/>
        <v>0</v>
      </c>
      <c r="V40" s="270">
        <f t="shared" si="34"/>
        <v>0</v>
      </c>
      <c r="W40" s="270">
        <f t="shared" si="34"/>
        <v>0.48</v>
      </c>
      <c r="X40" s="270">
        <f t="shared" si="34"/>
        <v>6.56775</v>
      </c>
      <c r="Y40" s="271">
        <f>ROUNDUP(SUM(Y41:Y47),-3)</f>
        <v>1114465000</v>
      </c>
      <c r="Z40" s="291">
        <v>6</v>
      </c>
      <c r="AA40" s="307">
        <f aca="true" t="shared" si="35" ref="AA40:AS40">SUM(AA41:AA49)</f>
        <v>82.86</v>
      </c>
      <c r="AB40" s="307">
        <f>SUM(AB41:AB49)</f>
        <v>34.400000000000006</v>
      </c>
      <c r="AC40" s="307">
        <f t="shared" si="35"/>
        <v>39.82</v>
      </c>
      <c r="AD40" s="307">
        <f t="shared" si="35"/>
        <v>6.300000000000001</v>
      </c>
      <c r="AE40" s="307">
        <f t="shared" si="35"/>
        <v>4.000000000000001</v>
      </c>
      <c r="AF40" s="307">
        <f t="shared" si="35"/>
        <v>0</v>
      </c>
      <c r="AG40" s="307">
        <f t="shared" si="35"/>
        <v>19.2</v>
      </c>
      <c r="AH40" s="307">
        <f t="shared" si="35"/>
        <v>0</v>
      </c>
      <c r="AI40" s="307">
        <f t="shared" si="35"/>
        <v>0</v>
      </c>
      <c r="AJ40" s="307">
        <f t="shared" si="35"/>
        <v>0</v>
      </c>
      <c r="AK40" s="307">
        <f t="shared" si="35"/>
        <v>9.6</v>
      </c>
      <c r="AL40" s="307">
        <f t="shared" si="35"/>
        <v>0</v>
      </c>
      <c r="AM40" s="307">
        <f t="shared" si="35"/>
        <v>0</v>
      </c>
      <c r="AN40" s="307">
        <f t="shared" si="35"/>
        <v>0</v>
      </c>
      <c r="AO40" s="307">
        <f t="shared" si="35"/>
        <v>0</v>
      </c>
      <c r="AP40" s="307">
        <f t="shared" si="35"/>
        <v>0</v>
      </c>
      <c r="AQ40" s="307">
        <f t="shared" si="35"/>
        <v>0</v>
      </c>
      <c r="AR40" s="307">
        <f t="shared" si="35"/>
        <v>0.72</v>
      </c>
      <c r="AS40" s="434">
        <f t="shared" si="35"/>
        <v>8.64</v>
      </c>
      <c r="AT40" s="455">
        <f>SUM(AT41:AT49)</f>
        <v>1043927152.5</v>
      </c>
      <c r="AU40" s="16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</row>
    <row r="41" spans="1:75" ht="15.75">
      <c r="A41" s="273">
        <v>1</v>
      </c>
      <c r="B41" s="274" t="s">
        <v>41</v>
      </c>
      <c r="C41" s="417"/>
      <c r="D41" s="417"/>
      <c r="E41" s="275">
        <f aca="true" t="shared" si="36" ref="E41:E46">F41+G41+X41</f>
        <v>11.444</v>
      </c>
      <c r="F41" s="276">
        <v>4.74</v>
      </c>
      <c r="G41" s="275">
        <f aca="true" t="shared" si="37" ref="G41:G46">H41+I41+J41+K41+L41+M41+N41+O41+P41+Q41+R41+S41+T41+U41+W41</f>
        <v>5.48</v>
      </c>
      <c r="H41" s="275">
        <v>0.7</v>
      </c>
      <c r="I41" s="275">
        <v>0.7</v>
      </c>
      <c r="J41" s="275"/>
      <c r="K41" s="275">
        <f aca="true" t="shared" si="38" ref="K41:K46">(F41+I41)*50%</f>
        <v>2.72</v>
      </c>
      <c r="L41" s="275"/>
      <c r="M41" s="275"/>
      <c r="N41" s="275"/>
      <c r="O41" s="290">
        <f aca="true" t="shared" si="39" ref="O41:O46">(F41+I41)*25%</f>
        <v>1.36</v>
      </c>
      <c r="P41" s="275"/>
      <c r="Q41" s="275"/>
      <c r="R41" s="275"/>
      <c r="S41" s="276"/>
      <c r="T41" s="275"/>
      <c r="U41" s="275"/>
      <c r="V41" s="275"/>
      <c r="W41" s="275"/>
      <c r="X41" s="275">
        <f aca="true" t="shared" si="40" ref="X41:X46">(F41+I41)*22.5%</f>
        <v>1.2240000000000002</v>
      </c>
      <c r="Y41" s="278">
        <f aca="true" t="shared" si="41" ref="Y41:Y46">E41*1490000*12</f>
        <v>204618720</v>
      </c>
      <c r="Z41" s="308"/>
      <c r="AA41" s="308">
        <f aca="true" t="shared" si="42" ref="AA41:AA49">AB41+AC41+AS41</f>
        <v>12.1155</v>
      </c>
      <c r="AB41" s="309">
        <v>5.08</v>
      </c>
      <c r="AC41" s="308">
        <f aca="true" t="shared" si="43" ref="AC41:AC48">SUM(AD41:AR41)</f>
        <v>5.735</v>
      </c>
      <c r="AD41" s="308">
        <v>0.7</v>
      </c>
      <c r="AE41" s="308">
        <v>0.7</v>
      </c>
      <c r="AF41" s="308"/>
      <c r="AG41" s="308">
        <f aca="true" t="shared" si="44" ref="AG41:AG49">0.5*(AB41+AE41)</f>
        <v>2.89</v>
      </c>
      <c r="AH41" s="308"/>
      <c r="AI41" s="308"/>
      <c r="AJ41" s="308"/>
      <c r="AK41" s="308">
        <f aca="true" t="shared" si="45" ref="AK41:AK49">0.25*(AB41+AE41)</f>
        <v>1.445</v>
      </c>
      <c r="AL41" s="308"/>
      <c r="AM41" s="308"/>
      <c r="AN41" s="308"/>
      <c r="AO41" s="308"/>
      <c r="AP41" s="308"/>
      <c r="AQ41" s="308"/>
      <c r="AR41" s="308"/>
      <c r="AS41" s="435">
        <f aca="true" t="shared" si="46" ref="AS41:AS49">(AB41+AE41)*22.5%</f>
        <v>1.3005</v>
      </c>
      <c r="AT41" s="456">
        <f>AA41*1490000*12</f>
        <v>216625140</v>
      </c>
      <c r="AU41" s="6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ht="15.75">
      <c r="A42" s="273">
        <v>2</v>
      </c>
      <c r="B42" s="274" t="s">
        <v>147</v>
      </c>
      <c r="C42" s="417"/>
      <c r="D42" s="417"/>
      <c r="E42" s="275">
        <f t="shared" si="36"/>
        <v>9.76525</v>
      </c>
      <c r="F42" s="276">
        <v>3.99</v>
      </c>
      <c r="G42" s="275">
        <f t="shared" si="37"/>
        <v>4.7425</v>
      </c>
      <c r="H42" s="275">
        <v>0.7</v>
      </c>
      <c r="I42" s="275">
        <v>0.6</v>
      </c>
      <c r="J42" s="275"/>
      <c r="K42" s="275">
        <f t="shared" si="38"/>
        <v>2.295</v>
      </c>
      <c r="L42" s="275"/>
      <c r="M42" s="275"/>
      <c r="N42" s="275"/>
      <c r="O42" s="290">
        <f t="shared" si="39"/>
        <v>1.1475</v>
      </c>
      <c r="P42" s="275"/>
      <c r="Q42" s="275"/>
      <c r="R42" s="275"/>
      <c r="S42" s="276"/>
      <c r="T42" s="275"/>
      <c r="U42" s="275"/>
      <c r="V42" s="275"/>
      <c r="W42" s="275"/>
      <c r="X42" s="275">
        <f t="shared" si="40"/>
        <v>1.03275</v>
      </c>
      <c r="Y42" s="278">
        <f t="shared" si="41"/>
        <v>174602670</v>
      </c>
      <c r="Z42" s="308"/>
      <c r="AA42" s="308">
        <f t="shared" si="42"/>
        <v>9.1135</v>
      </c>
      <c r="AB42" s="308">
        <v>3.66</v>
      </c>
      <c r="AC42" s="308">
        <f t="shared" si="43"/>
        <v>4.494999999999999</v>
      </c>
      <c r="AD42" s="308">
        <v>0.7</v>
      </c>
      <c r="AE42" s="308">
        <v>0.6</v>
      </c>
      <c r="AF42" s="308"/>
      <c r="AG42" s="308">
        <f t="shared" si="44"/>
        <v>2.13</v>
      </c>
      <c r="AH42" s="308"/>
      <c r="AI42" s="308"/>
      <c r="AJ42" s="308"/>
      <c r="AK42" s="308">
        <f t="shared" si="45"/>
        <v>1.065</v>
      </c>
      <c r="AL42" s="308"/>
      <c r="AM42" s="308"/>
      <c r="AN42" s="308"/>
      <c r="AO42" s="308"/>
      <c r="AP42" s="308"/>
      <c r="AQ42" s="308"/>
      <c r="AR42" s="308"/>
      <c r="AS42" s="435">
        <f t="shared" si="46"/>
        <v>0.9585</v>
      </c>
      <c r="AT42" s="456">
        <f>AA42*1490000*3</f>
        <v>40737345</v>
      </c>
      <c r="AU42" s="6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15.75">
      <c r="A43" s="273">
        <v>3</v>
      </c>
      <c r="B43" s="274" t="s">
        <v>32</v>
      </c>
      <c r="C43" s="417"/>
      <c r="D43" s="417"/>
      <c r="E43" s="275">
        <f t="shared" si="36"/>
        <v>10.854500000000002</v>
      </c>
      <c r="F43" s="276">
        <v>4.32</v>
      </c>
      <c r="G43" s="275">
        <f t="shared" si="37"/>
        <v>5.405</v>
      </c>
      <c r="H43" s="275">
        <v>0.7</v>
      </c>
      <c r="I43" s="275">
        <v>0.7</v>
      </c>
      <c r="J43" s="275"/>
      <c r="K43" s="275">
        <f t="shared" si="38"/>
        <v>2.5100000000000002</v>
      </c>
      <c r="L43" s="275"/>
      <c r="M43" s="275"/>
      <c r="N43" s="275"/>
      <c r="O43" s="290">
        <f t="shared" si="39"/>
        <v>1.2550000000000001</v>
      </c>
      <c r="P43" s="275"/>
      <c r="Q43" s="275"/>
      <c r="R43" s="275"/>
      <c r="S43" s="276"/>
      <c r="T43" s="275"/>
      <c r="U43" s="275"/>
      <c r="V43" s="275"/>
      <c r="W43" s="275">
        <v>0.24</v>
      </c>
      <c r="X43" s="275">
        <f t="shared" si="40"/>
        <v>1.1295000000000002</v>
      </c>
      <c r="Y43" s="278">
        <f t="shared" si="41"/>
        <v>194078460.00000003</v>
      </c>
      <c r="Z43" s="308"/>
      <c r="AA43" s="308">
        <f t="shared" si="42"/>
        <v>9.76525</v>
      </c>
      <c r="AB43" s="309">
        <v>3.99</v>
      </c>
      <c r="AC43" s="308">
        <f t="shared" si="43"/>
        <v>4.7425</v>
      </c>
      <c r="AD43" s="308">
        <v>0.7</v>
      </c>
      <c r="AE43" s="308">
        <v>0.6</v>
      </c>
      <c r="AF43" s="308"/>
      <c r="AG43" s="308">
        <f t="shared" si="44"/>
        <v>2.295</v>
      </c>
      <c r="AH43" s="308"/>
      <c r="AI43" s="308"/>
      <c r="AJ43" s="308"/>
      <c r="AK43" s="308">
        <f t="shared" si="45"/>
        <v>1.1475</v>
      </c>
      <c r="AL43" s="308"/>
      <c r="AM43" s="308"/>
      <c r="AN43" s="308"/>
      <c r="AO43" s="308"/>
      <c r="AP43" s="308"/>
      <c r="AQ43" s="308"/>
      <c r="AR43" s="308"/>
      <c r="AS43" s="435">
        <f t="shared" si="46"/>
        <v>1.03275</v>
      </c>
      <c r="AT43" s="456">
        <f>AA43*1490000*9</f>
        <v>130952002.5</v>
      </c>
      <c r="AU43" s="6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15.75">
      <c r="A44" s="273">
        <v>4</v>
      </c>
      <c r="B44" s="274" t="s">
        <v>60</v>
      </c>
      <c r="C44" s="417"/>
      <c r="D44" s="417"/>
      <c r="E44" s="275">
        <f t="shared" si="36"/>
        <v>15.275500000000001</v>
      </c>
      <c r="F44" s="276">
        <v>6.78</v>
      </c>
      <c r="G44" s="275">
        <f t="shared" si="37"/>
        <v>6.835</v>
      </c>
      <c r="H44" s="275">
        <v>0.7</v>
      </c>
      <c r="I44" s="275">
        <v>0.6</v>
      </c>
      <c r="J44" s="275"/>
      <c r="K44" s="275">
        <f t="shared" si="38"/>
        <v>3.69</v>
      </c>
      <c r="L44" s="275"/>
      <c r="M44" s="275"/>
      <c r="N44" s="275"/>
      <c r="O44" s="290">
        <f t="shared" si="39"/>
        <v>1.845</v>
      </c>
      <c r="P44" s="275"/>
      <c r="Q44" s="275"/>
      <c r="R44" s="275"/>
      <c r="S44" s="276"/>
      <c r="T44" s="275"/>
      <c r="U44" s="275"/>
      <c r="V44" s="275"/>
      <c r="W44" s="275"/>
      <c r="X44" s="275">
        <f t="shared" si="40"/>
        <v>1.6605</v>
      </c>
      <c r="Y44" s="278">
        <f t="shared" si="41"/>
        <v>273125940</v>
      </c>
      <c r="Z44" s="308"/>
      <c r="AA44" s="308">
        <f t="shared" si="42"/>
        <v>9.76525</v>
      </c>
      <c r="AB44" s="308">
        <v>3.99</v>
      </c>
      <c r="AC44" s="308">
        <f t="shared" si="43"/>
        <v>4.7425</v>
      </c>
      <c r="AD44" s="308">
        <v>0.7</v>
      </c>
      <c r="AE44" s="308">
        <v>0.6</v>
      </c>
      <c r="AF44" s="308"/>
      <c r="AG44" s="308">
        <f t="shared" si="44"/>
        <v>2.295</v>
      </c>
      <c r="AH44" s="308"/>
      <c r="AI44" s="308"/>
      <c r="AJ44" s="308"/>
      <c r="AK44" s="308">
        <f t="shared" si="45"/>
        <v>1.1475</v>
      </c>
      <c r="AL44" s="308"/>
      <c r="AM44" s="308"/>
      <c r="AN44" s="308"/>
      <c r="AO44" s="308"/>
      <c r="AP44" s="308"/>
      <c r="AQ44" s="308"/>
      <c r="AR44" s="308"/>
      <c r="AS44" s="435">
        <f t="shared" si="46"/>
        <v>1.03275</v>
      </c>
      <c r="AT44" s="456">
        <f>AA44*1490000*12</f>
        <v>174602670</v>
      </c>
      <c r="AU44" s="6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ht="15.75">
      <c r="A45" s="273">
        <v>5</v>
      </c>
      <c r="B45" s="274" t="s">
        <v>59</v>
      </c>
      <c r="C45" s="417"/>
      <c r="D45" s="417"/>
      <c r="E45" s="275">
        <f t="shared" si="36"/>
        <v>7.319249999999999</v>
      </c>
      <c r="F45" s="276">
        <v>3.03</v>
      </c>
      <c r="G45" s="275">
        <f t="shared" si="37"/>
        <v>3.5625</v>
      </c>
      <c r="H45" s="275">
        <v>0.7</v>
      </c>
      <c r="I45" s="275">
        <v>0.2</v>
      </c>
      <c r="J45" s="275"/>
      <c r="K45" s="275">
        <f t="shared" si="38"/>
        <v>1.615</v>
      </c>
      <c r="L45" s="275"/>
      <c r="M45" s="275"/>
      <c r="N45" s="275"/>
      <c r="O45" s="290">
        <f t="shared" si="39"/>
        <v>0.8075</v>
      </c>
      <c r="P45" s="275"/>
      <c r="Q45" s="275"/>
      <c r="R45" s="275"/>
      <c r="S45" s="276"/>
      <c r="T45" s="275"/>
      <c r="U45" s="275"/>
      <c r="V45" s="275"/>
      <c r="W45" s="275">
        <v>0.24</v>
      </c>
      <c r="X45" s="275">
        <f t="shared" si="40"/>
        <v>0.72675</v>
      </c>
      <c r="Y45" s="278">
        <f t="shared" si="41"/>
        <v>130868189.99999997</v>
      </c>
      <c r="Z45" s="308"/>
      <c r="AA45" s="308">
        <f t="shared" si="42"/>
        <v>10.854500000000002</v>
      </c>
      <c r="AB45" s="308">
        <v>4.32</v>
      </c>
      <c r="AC45" s="308">
        <f t="shared" si="43"/>
        <v>5.405</v>
      </c>
      <c r="AD45" s="308">
        <v>0.7</v>
      </c>
      <c r="AE45" s="308">
        <v>0.7</v>
      </c>
      <c r="AF45" s="308"/>
      <c r="AG45" s="308">
        <f t="shared" si="44"/>
        <v>2.5100000000000002</v>
      </c>
      <c r="AH45" s="308"/>
      <c r="AI45" s="308"/>
      <c r="AJ45" s="308"/>
      <c r="AK45" s="308">
        <f t="shared" si="45"/>
        <v>1.2550000000000001</v>
      </c>
      <c r="AL45" s="308"/>
      <c r="AM45" s="308"/>
      <c r="AN45" s="308"/>
      <c r="AO45" s="308"/>
      <c r="AP45" s="308"/>
      <c r="AQ45" s="308"/>
      <c r="AR45" s="308">
        <v>0.24</v>
      </c>
      <c r="AS45" s="435">
        <f t="shared" si="46"/>
        <v>1.1295000000000002</v>
      </c>
      <c r="AT45" s="456">
        <f>AA45*1490000*12</f>
        <v>194078460.00000003</v>
      </c>
      <c r="AU45" s="6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ht="15.75">
      <c r="A46" s="273">
        <v>6</v>
      </c>
      <c r="B46" s="274" t="s">
        <v>54</v>
      </c>
      <c r="C46" s="417"/>
      <c r="D46" s="417"/>
      <c r="E46" s="275">
        <f t="shared" si="36"/>
        <v>7.67175</v>
      </c>
      <c r="F46" s="276">
        <v>3.33</v>
      </c>
      <c r="G46" s="275">
        <f t="shared" si="37"/>
        <v>3.5475000000000003</v>
      </c>
      <c r="H46" s="275">
        <v>0.7</v>
      </c>
      <c r="I46" s="275">
        <v>0.2</v>
      </c>
      <c r="J46" s="275"/>
      <c r="K46" s="275">
        <f t="shared" si="38"/>
        <v>1.7650000000000001</v>
      </c>
      <c r="L46" s="275"/>
      <c r="M46" s="275"/>
      <c r="N46" s="275"/>
      <c r="O46" s="290">
        <f t="shared" si="39"/>
        <v>0.8825000000000001</v>
      </c>
      <c r="P46" s="275"/>
      <c r="Q46" s="275"/>
      <c r="R46" s="275"/>
      <c r="S46" s="276"/>
      <c r="T46" s="275"/>
      <c r="U46" s="275"/>
      <c r="V46" s="275"/>
      <c r="W46" s="275"/>
      <c r="X46" s="275">
        <f t="shared" si="40"/>
        <v>0.7942500000000001</v>
      </c>
      <c r="Y46" s="278">
        <f t="shared" si="41"/>
        <v>137170890</v>
      </c>
      <c r="Z46" s="308"/>
      <c r="AA46" s="308">
        <f t="shared" si="42"/>
        <v>7.319249999999999</v>
      </c>
      <c r="AB46" s="308">
        <v>3.03</v>
      </c>
      <c r="AC46" s="308">
        <f t="shared" si="43"/>
        <v>3.5625</v>
      </c>
      <c r="AD46" s="308">
        <v>0.7</v>
      </c>
      <c r="AE46" s="308">
        <v>0.2</v>
      </c>
      <c r="AF46" s="308"/>
      <c r="AG46" s="308">
        <f t="shared" si="44"/>
        <v>1.615</v>
      </c>
      <c r="AH46" s="308"/>
      <c r="AI46" s="308"/>
      <c r="AJ46" s="308"/>
      <c r="AK46" s="308">
        <f t="shared" si="45"/>
        <v>0.8075</v>
      </c>
      <c r="AL46" s="308"/>
      <c r="AM46" s="308"/>
      <c r="AN46" s="308"/>
      <c r="AO46" s="308"/>
      <c r="AP46" s="308"/>
      <c r="AQ46" s="308"/>
      <c r="AR46" s="308">
        <v>0.24</v>
      </c>
      <c r="AS46" s="435">
        <f t="shared" si="46"/>
        <v>0.72675</v>
      </c>
      <c r="AT46" s="456">
        <f>AA46*1490000*3</f>
        <v>32717047.499999993</v>
      </c>
      <c r="AU46" s="6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ht="15.75">
      <c r="A47" s="273"/>
      <c r="B47" s="274"/>
      <c r="C47" s="417"/>
      <c r="D47" s="417"/>
      <c r="E47" s="275"/>
      <c r="F47" s="276"/>
      <c r="G47" s="275"/>
      <c r="H47" s="275"/>
      <c r="I47" s="275"/>
      <c r="J47" s="275"/>
      <c r="K47" s="275"/>
      <c r="L47" s="275"/>
      <c r="M47" s="275"/>
      <c r="N47" s="275"/>
      <c r="O47" s="290"/>
      <c r="P47" s="275"/>
      <c r="Q47" s="275"/>
      <c r="R47" s="275"/>
      <c r="S47" s="276"/>
      <c r="T47" s="275"/>
      <c r="U47" s="275"/>
      <c r="V47" s="275"/>
      <c r="W47" s="275"/>
      <c r="X47" s="275"/>
      <c r="Y47" s="278"/>
      <c r="Z47" s="308"/>
      <c r="AA47" s="308">
        <f t="shared" si="42"/>
        <v>7.9315</v>
      </c>
      <c r="AB47" s="309">
        <v>3.34</v>
      </c>
      <c r="AC47" s="308">
        <f t="shared" si="43"/>
        <v>3.795</v>
      </c>
      <c r="AD47" s="308">
        <v>0.7</v>
      </c>
      <c r="AE47" s="308">
        <v>0.2</v>
      </c>
      <c r="AF47" s="308"/>
      <c r="AG47" s="308">
        <f t="shared" si="44"/>
        <v>1.77</v>
      </c>
      <c r="AH47" s="308"/>
      <c r="AI47" s="308"/>
      <c r="AJ47" s="308"/>
      <c r="AK47" s="308">
        <f t="shared" si="45"/>
        <v>0.885</v>
      </c>
      <c r="AL47" s="308"/>
      <c r="AM47" s="308"/>
      <c r="AN47" s="308"/>
      <c r="AO47" s="308"/>
      <c r="AP47" s="308"/>
      <c r="AQ47" s="308"/>
      <c r="AR47" s="308">
        <v>0.24</v>
      </c>
      <c r="AS47" s="435">
        <f t="shared" si="46"/>
        <v>0.7965</v>
      </c>
      <c r="AT47" s="456">
        <f>AA47*1490000*9</f>
        <v>106361415</v>
      </c>
      <c r="AU47" s="6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ht="15.75">
      <c r="A48" s="287" t="s">
        <v>146</v>
      </c>
      <c r="B48" s="310" t="s">
        <v>145</v>
      </c>
      <c r="C48" s="416">
        <v>6</v>
      </c>
      <c r="D48" s="416">
        <v>5</v>
      </c>
      <c r="E48" s="270">
        <f aca="true" t="shared" si="47" ref="E48:X48">SUM(E49:E54)</f>
        <v>42.104499999999994</v>
      </c>
      <c r="F48" s="270">
        <f t="shared" si="47"/>
        <v>19.32</v>
      </c>
      <c r="G48" s="270">
        <f t="shared" si="47"/>
        <v>18.279999999999998</v>
      </c>
      <c r="H48" s="270">
        <f t="shared" si="47"/>
        <v>3.5</v>
      </c>
      <c r="I48" s="270">
        <f t="shared" si="47"/>
        <v>0.7</v>
      </c>
      <c r="J48" s="270">
        <f t="shared" si="47"/>
        <v>0</v>
      </c>
      <c r="K48" s="270">
        <f t="shared" si="47"/>
        <v>8.84</v>
      </c>
      <c r="L48" s="270">
        <f t="shared" si="47"/>
        <v>0</v>
      </c>
      <c r="M48" s="270">
        <f t="shared" si="47"/>
        <v>0</v>
      </c>
      <c r="N48" s="270">
        <f t="shared" si="47"/>
        <v>0</v>
      </c>
      <c r="O48" s="270">
        <f t="shared" si="47"/>
        <v>4.42</v>
      </c>
      <c r="P48" s="270">
        <f t="shared" si="47"/>
        <v>0</v>
      </c>
      <c r="Q48" s="270">
        <f t="shared" si="47"/>
        <v>0</v>
      </c>
      <c r="R48" s="270">
        <f t="shared" si="47"/>
        <v>0</v>
      </c>
      <c r="S48" s="270">
        <f t="shared" si="47"/>
        <v>0</v>
      </c>
      <c r="T48" s="270">
        <f t="shared" si="47"/>
        <v>0</v>
      </c>
      <c r="U48" s="270">
        <f t="shared" si="47"/>
        <v>0.6</v>
      </c>
      <c r="V48" s="270">
        <f t="shared" si="47"/>
        <v>0</v>
      </c>
      <c r="W48" s="270">
        <f t="shared" si="47"/>
        <v>0.22</v>
      </c>
      <c r="X48" s="270">
        <f t="shared" si="47"/>
        <v>4.5045</v>
      </c>
      <c r="Y48" s="271">
        <f>ROUNDUP(SUM(Y49:Y54),-3)</f>
        <v>752829000</v>
      </c>
      <c r="Z48" s="308"/>
      <c r="AA48" s="308">
        <f t="shared" si="42"/>
        <v>7.67175</v>
      </c>
      <c r="AB48" s="308">
        <v>3.33</v>
      </c>
      <c r="AC48" s="308">
        <f t="shared" si="43"/>
        <v>3.5475000000000003</v>
      </c>
      <c r="AD48" s="308">
        <v>0.7</v>
      </c>
      <c r="AE48" s="308">
        <v>0.2</v>
      </c>
      <c r="AF48" s="308"/>
      <c r="AG48" s="308">
        <f t="shared" si="44"/>
        <v>1.7650000000000001</v>
      </c>
      <c r="AH48" s="308"/>
      <c r="AI48" s="308"/>
      <c r="AJ48" s="308"/>
      <c r="AK48" s="308">
        <f t="shared" si="45"/>
        <v>0.8825000000000001</v>
      </c>
      <c r="AL48" s="308"/>
      <c r="AM48" s="308"/>
      <c r="AN48" s="308"/>
      <c r="AO48" s="308"/>
      <c r="AP48" s="308"/>
      <c r="AQ48" s="308"/>
      <c r="AR48" s="308"/>
      <c r="AS48" s="435">
        <f t="shared" si="46"/>
        <v>0.7942500000000001</v>
      </c>
      <c r="AT48" s="456">
        <f>AA48*1490000*1</f>
        <v>11430907.5</v>
      </c>
      <c r="AU48" s="16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</row>
    <row r="49" spans="1:75" ht="15.75">
      <c r="A49" s="273">
        <v>1</v>
      </c>
      <c r="B49" s="311" t="s">
        <v>21</v>
      </c>
      <c r="C49" s="417"/>
      <c r="D49" s="417"/>
      <c r="E49" s="275">
        <f aca="true" t="shared" si="48" ref="E49:E54">F49+G49+X49</f>
        <v>9.692749999999998</v>
      </c>
      <c r="F49" s="276">
        <v>3.99</v>
      </c>
      <c r="G49" s="275">
        <f aca="true" t="shared" si="49" ref="G49:G54">SUM(H49:W49)</f>
        <v>4.7375</v>
      </c>
      <c r="H49" s="275">
        <v>0.7</v>
      </c>
      <c r="I49" s="275">
        <v>0.3</v>
      </c>
      <c r="J49" s="275"/>
      <c r="K49" s="275">
        <f>(F49+I49)*50%</f>
        <v>2.145</v>
      </c>
      <c r="L49" s="275"/>
      <c r="M49" s="275"/>
      <c r="N49" s="275"/>
      <c r="O49" s="275">
        <f>(F49+I49)*25%</f>
        <v>1.0725</v>
      </c>
      <c r="P49" s="275"/>
      <c r="Q49" s="275"/>
      <c r="R49" s="275"/>
      <c r="S49" s="276"/>
      <c r="T49" s="275"/>
      <c r="U49" s="275">
        <v>0.3</v>
      </c>
      <c r="V49" s="275"/>
      <c r="W49" s="275">
        <v>0.22</v>
      </c>
      <c r="X49" s="275">
        <f aca="true" t="shared" si="50" ref="X49:X54">(F49+I49)*22.5%</f>
        <v>0.96525</v>
      </c>
      <c r="Y49" s="278">
        <f aca="true" t="shared" si="51" ref="Y49:Y54">E49*1490000*12</f>
        <v>173306369.99999997</v>
      </c>
      <c r="Z49" s="308"/>
      <c r="AA49" s="308">
        <f t="shared" si="42"/>
        <v>8.3235</v>
      </c>
      <c r="AB49" s="309">
        <v>3.66</v>
      </c>
      <c r="AC49" s="308">
        <f>SUM(AD49:AR49)</f>
        <v>3.795</v>
      </c>
      <c r="AD49" s="308">
        <v>0.7</v>
      </c>
      <c r="AE49" s="308">
        <v>0.2</v>
      </c>
      <c r="AF49" s="308"/>
      <c r="AG49" s="308">
        <f t="shared" si="44"/>
        <v>1.9300000000000002</v>
      </c>
      <c r="AH49" s="308"/>
      <c r="AI49" s="308"/>
      <c r="AJ49" s="308"/>
      <c r="AK49" s="308">
        <f t="shared" si="45"/>
        <v>0.9650000000000001</v>
      </c>
      <c r="AL49" s="308"/>
      <c r="AM49" s="308"/>
      <c r="AN49" s="308"/>
      <c r="AO49" s="308"/>
      <c r="AP49" s="308"/>
      <c r="AQ49" s="308"/>
      <c r="AR49" s="308"/>
      <c r="AS49" s="435">
        <f t="shared" si="46"/>
        <v>0.8685</v>
      </c>
      <c r="AT49" s="456">
        <f>AA49*1490000*11</f>
        <v>136422164.99999997</v>
      </c>
      <c r="AU49" s="6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15.75">
      <c r="A50" s="273">
        <v>2</v>
      </c>
      <c r="B50" s="311" t="s">
        <v>144</v>
      </c>
      <c r="C50" s="417"/>
      <c r="D50" s="417"/>
      <c r="E50" s="275">
        <f t="shared" si="48"/>
        <v>8.3235</v>
      </c>
      <c r="F50" s="276">
        <v>3.66</v>
      </c>
      <c r="G50" s="275">
        <f t="shared" si="49"/>
        <v>3.795</v>
      </c>
      <c r="H50" s="275">
        <v>0.7</v>
      </c>
      <c r="I50" s="275">
        <v>0.2</v>
      </c>
      <c r="J50" s="275"/>
      <c r="K50" s="275">
        <f>(F50+I50)*50%</f>
        <v>1.9300000000000002</v>
      </c>
      <c r="L50" s="275"/>
      <c r="M50" s="275"/>
      <c r="N50" s="275"/>
      <c r="O50" s="275">
        <f>(F50+I50)*25%</f>
        <v>0.9650000000000001</v>
      </c>
      <c r="P50" s="275"/>
      <c r="Q50" s="275"/>
      <c r="R50" s="275"/>
      <c r="S50" s="276"/>
      <c r="T50" s="275"/>
      <c r="U50" s="275"/>
      <c r="V50" s="275"/>
      <c r="W50" s="275"/>
      <c r="X50" s="275">
        <f t="shared" si="50"/>
        <v>0.8685</v>
      </c>
      <c r="Y50" s="278">
        <f t="shared" si="51"/>
        <v>148824179.99999997</v>
      </c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435"/>
      <c r="AT50" s="457">
        <f>SUM(AT51:AT53)</f>
        <v>281580000</v>
      </c>
      <c r="AU50" s="6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t="15.75">
      <c r="A51" s="273">
        <v>3</v>
      </c>
      <c r="B51" s="311" t="s">
        <v>143</v>
      </c>
      <c r="C51" s="417"/>
      <c r="D51" s="417"/>
      <c r="E51" s="275">
        <f t="shared" si="48"/>
        <v>9.927</v>
      </c>
      <c r="F51" s="276">
        <v>4.32</v>
      </c>
      <c r="G51" s="275">
        <f t="shared" si="49"/>
        <v>4.59</v>
      </c>
      <c r="H51" s="275">
        <v>0.7</v>
      </c>
      <c r="I51" s="275">
        <v>0.2</v>
      </c>
      <c r="J51" s="275"/>
      <c r="K51" s="275">
        <f>(F51+I51)*50%</f>
        <v>2.2600000000000002</v>
      </c>
      <c r="L51" s="275"/>
      <c r="M51" s="275"/>
      <c r="N51" s="275"/>
      <c r="O51" s="275">
        <f>(F51+I51)*25%</f>
        <v>1.1300000000000001</v>
      </c>
      <c r="P51" s="275"/>
      <c r="Q51" s="275"/>
      <c r="R51" s="275"/>
      <c r="S51" s="276"/>
      <c r="T51" s="275"/>
      <c r="U51" s="275">
        <v>0.3</v>
      </c>
      <c r="V51" s="275"/>
      <c r="W51" s="275"/>
      <c r="X51" s="275">
        <f t="shared" si="50"/>
        <v>1.0170000000000001</v>
      </c>
      <c r="Y51" s="278">
        <f t="shared" si="51"/>
        <v>177494760</v>
      </c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435"/>
      <c r="AT51" s="456">
        <v>108186000</v>
      </c>
      <c r="AU51" s="6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5.75">
      <c r="A52" s="273">
        <v>4</v>
      </c>
      <c r="B52" s="311" t="s">
        <v>142</v>
      </c>
      <c r="C52" s="417"/>
      <c r="D52" s="417"/>
      <c r="E52" s="275">
        <f t="shared" si="48"/>
        <v>2.8665</v>
      </c>
      <c r="F52" s="276">
        <v>2.34</v>
      </c>
      <c r="G52" s="275">
        <f t="shared" si="49"/>
        <v>0</v>
      </c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6"/>
      <c r="T52" s="275"/>
      <c r="U52" s="275"/>
      <c r="V52" s="275"/>
      <c r="W52" s="275"/>
      <c r="X52" s="275">
        <f t="shared" si="50"/>
        <v>0.5265</v>
      </c>
      <c r="Y52" s="278">
        <f t="shared" si="51"/>
        <v>51253020</v>
      </c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435"/>
      <c r="AT52" s="456">
        <v>108186000</v>
      </c>
      <c r="AU52" s="6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ht="15.75">
      <c r="A53" s="273">
        <v>5</v>
      </c>
      <c r="B53" s="311" t="s">
        <v>141</v>
      </c>
      <c r="C53" s="417"/>
      <c r="D53" s="417"/>
      <c r="E53" s="275">
        <f t="shared" si="48"/>
        <v>5.3215</v>
      </c>
      <c r="F53" s="276">
        <v>2.34</v>
      </c>
      <c r="G53" s="275">
        <f t="shared" si="49"/>
        <v>2.455</v>
      </c>
      <c r="H53" s="275">
        <v>0.7</v>
      </c>
      <c r="I53" s="275"/>
      <c r="J53" s="275"/>
      <c r="K53" s="275">
        <f>(F53+I53)*50%</f>
        <v>1.17</v>
      </c>
      <c r="L53" s="275"/>
      <c r="M53" s="275"/>
      <c r="N53" s="275"/>
      <c r="O53" s="275">
        <f>(F53+I53)*25%</f>
        <v>0.585</v>
      </c>
      <c r="P53" s="275"/>
      <c r="Q53" s="275"/>
      <c r="R53" s="275"/>
      <c r="S53" s="276"/>
      <c r="T53" s="275"/>
      <c r="U53" s="275"/>
      <c r="V53" s="275"/>
      <c r="W53" s="275"/>
      <c r="X53" s="275">
        <f t="shared" si="50"/>
        <v>0.5265</v>
      </c>
      <c r="Y53" s="278">
        <f t="shared" si="51"/>
        <v>95148420.00000001</v>
      </c>
      <c r="Z53" s="312"/>
      <c r="AA53" s="308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436"/>
      <c r="AT53" s="456">
        <v>65208000</v>
      </c>
      <c r="AU53" s="6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ht="15.75">
      <c r="A54" s="273">
        <v>6</v>
      </c>
      <c r="B54" s="311" t="s">
        <v>140</v>
      </c>
      <c r="C54" s="417"/>
      <c r="D54" s="417"/>
      <c r="E54" s="275">
        <f t="shared" si="48"/>
        <v>5.97325</v>
      </c>
      <c r="F54" s="276">
        <v>2.67</v>
      </c>
      <c r="G54" s="275">
        <f t="shared" si="49"/>
        <v>2.7025</v>
      </c>
      <c r="H54" s="275">
        <v>0.7</v>
      </c>
      <c r="I54" s="275"/>
      <c r="J54" s="275"/>
      <c r="K54" s="275">
        <f>(F54+I54)*50%</f>
        <v>1.335</v>
      </c>
      <c r="L54" s="275"/>
      <c r="M54" s="275"/>
      <c r="N54" s="275"/>
      <c r="O54" s="275">
        <f>(F54+I54)*25%</f>
        <v>0.6675</v>
      </c>
      <c r="P54" s="275"/>
      <c r="Q54" s="275"/>
      <c r="R54" s="275"/>
      <c r="S54" s="276"/>
      <c r="T54" s="275"/>
      <c r="U54" s="275"/>
      <c r="V54" s="275"/>
      <c r="W54" s="275"/>
      <c r="X54" s="275">
        <f t="shared" si="50"/>
        <v>0.60075</v>
      </c>
      <c r="Y54" s="278">
        <f t="shared" si="51"/>
        <v>106801710</v>
      </c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435"/>
      <c r="AT54" s="456"/>
      <c r="AU54" s="6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ht="15.75">
      <c r="A55" s="287"/>
      <c r="B55" s="313"/>
      <c r="C55" s="416"/>
      <c r="D55" s="416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>
        <f>Y48-Y52</f>
        <v>701575980</v>
      </c>
      <c r="Z55" s="314">
        <v>7</v>
      </c>
      <c r="AA55" s="314">
        <f>SUM(AA56:AA62)</f>
        <v>46.22474999999999</v>
      </c>
      <c r="AB55" s="314">
        <f>SUM(AB56:AB62)</f>
        <v>23.110000000000003</v>
      </c>
      <c r="AC55" s="314">
        <f>SUM(AC56:AC62)</f>
        <v>17.8475</v>
      </c>
      <c r="AD55" s="314">
        <f>SUM(AD56:AD62)</f>
        <v>3.5</v>
      </c>
      <c r="AE55" s="314">
        <f aca="true" t="shared" si="52" ref="AE55:AS55">SUM(AE56:AE62)</f>
        <v>0.3</v>
      </c>
      <c r="AF55" s="314">
        <f t="shared" si="52"/>
        <v>0</v>
      </c>
      <c r="AG55" s="314">
        <f t="shared" si="52"/>
        <v>9.364999999999998</v>
      </c>
      <c r="AH55" s="314">
        <f t="shared" si="52"/>
        <v>0</v>
      </c>
      <c r="AI55" s="314">
        <f t="shared" si="52"/>
        <v>0</v>
      </c>
      <c r="AJ55" s="314">
        <f t="shared" si="52"/>
        <v>0</v>
      </c>
      <c r="AK55" s="314">
        <f t="shared" si="52"/>
        <v>4.682499999999999</v>
      </c>
      <c r="AL55" s="314">
        <f t="shared" si="52"/>
        <v>0</v>
      </c>
      <c r="AM55" s="314">
        <f t="shared" si="52"/>
        <v>0</v>
      </c>
      <c r="AN55" s="314">
        <f t="shared" si="52"/>
        <v>0</v>
      </c>
      <c r="AO55" s="314">
        <f t="shared" si="52"/>
        <v>0</v>
      </c>
      <c r="AP55" s="314">
        <f t="shared" si="52"/>
        <v>0</v>
      </c>
      <c r="AQ55" s="314">
        <f t="shared" si="52"/>
        <v>0</v>
      </c>
      <c r="AR55" s="314">
        <f t="shared" si="52"/>
        <v>0</v>
      </c>
      <c r="AS55" s="437">
        <f t="shared" si="52"/>
        <v>5.267250000000001</v>
      </c>
      <c r="AT55" s="458">
        <f>SUM(AT56:AT62)</f>
        <v>760613710</v>
      </c>
      <c r="AU55" s="16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</row>
    <row r="56" spans="1:75" ht="15.75">
      <c r="A56" s="273"/>
      <c r="B56" s="315"/>
      <c r="C56" s="417"/>
      <c r="D56" s="417"/>
      <c r="E56" s="275"/>
      <c r="F56" s="276"/>
      <c r="G56" s="275"/>
      <c r="H56" s="275"/>
      <c r="I56" s="275"/>
      <c r="J56" s="275"/>
      <c r="K56" s="275"/>
      <c r="L56" s="275"/>
      <c r="M56" s="275"/>
      <c r="N56" s="275"/>
      <c r="O56" s="316"/>
      <c r="P56" s="275"/>
      <c r="Q56" s="275"/>
      <c r="R56" s="275"/>
      <c r="S56" s="276"/>
      <c r="T56" s="275"/>
      <c r="U56" s="275"/>
      <c r="V56" s="275"/>
      <c r="W56" s="275"/>
      <c r="X56" s="275"/>
      <c r="Y56" s="278"/>
      <c r="Z56" s="317"/>
      <c r="AA56" s="317">
        <f aca="true" t="shared" si="53" ref="AA56:AA62">AB56+AC56+AS56</f>
        <v>13.339999999999998</v>
      </c>
      <c r="AB56" s="318">
        <v>6.1</v>
      </c>
      <c r="AC56" s="319">
        <f aca="true" t="shared" si="54" ref="AC56:AC62">SUM(AD56:AR56)</f>
        <v>5.799999999999999</v>
      </c>
      <c r="AD56" s="317">
        <v>0.7</v>
      </c>
      <c r="AE56" s="317">
        <v>0.3</v>
      </c>
      <c r="AF56" s="317"/>
      <c r="AG56" s="317">
        <f>(AB56+AE56)*50%</f>
        <v>3.1999999999999997</v>
      </c>
      <c r="AH56" s="317"/>
      <c r="AI56" s="317"/>
      <c r="AJ56" s="317"/>
      <c r="AK56" s="317">
        <f>(AB56+AE56)*25%</f>
        <v>1.5999999999999999</v>
      </c>
      <c r="AL56" s="318"/>
      <c r="AM56" s="317"/>
      <c r="AN56" s="317"/>
      <c r="AO56" s="317"/>
      <c r="AP56" s="320"/>
      <c r="AQ56" s="317"/>
      <c r="AR56" s="317"/>
      <c r="AS56" s="438">
        <f aca="true" t="shared" si="55" ref="AS56:AS61">(AB56+AE56)*22.5%</f>
        <v>1.44</v>
      </c>
      <c r="AT56" s="321">
        <f>AA56*1490000*12</f>
        <v>238519199.99999994</v>
      </c>
      <c r="AU56" s="6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ht="15.75">
      <c r="A57" s="273"/>
      <c r="B57" s="311"/>
      <c r="C57" s="417"/>
      <c r="D57" s="417"/>
      <c r="E57" s="275"/>
      <c r="F57" s="276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6"/>
      <c r="T57" s="275"/>
      <c r="U57" s="275"/>
      <c r="V57" s="275"/>
      <c r="W57" s="275"/>
      <c r="X57" s="275"/>
      <c r="Y57" s="278"/>
      <c r="Z57" s="317"/>
      <c r="AA57" s="317">
        <f t="shared" si="53"/>
        <v>6.625</v>
      </c>
      <c r="AB57" s="318">
        <v>3</v>
      </c>
      <c r="AC57" s="319">
        <f t="shared" si="54"/>
        <v>2.95</v>
      </c>
      <c r="AD57" s="317">
        <v>0.7</v>
      </c>
      <c r="AE57" s="317"/>
      <c r="AF57" s="317"/>
      <c r="AG57" s="317">
        <f>(AB57+AE57)*50%</f>
        <v>1.5</v>
      </c>
      <c r="AH57" s="317"/>
      <c r="AI57" s="317"/>
      <c r="AJ57" s="317"/>
      <c r="AK57" s="317">
        <f>(AB57+AE57)*25%</f>
        <v>0.75</v>
      </c>
      <c r="AL57" s="318"/>
      <c r="AM57" s="317"/>
      <c r="AN57" s="317"/>
      <c r="AO57" s="317"/>
      <c r="AP57" s="320"/>
      <c r="AQ57" s="317"/>
      <c r="AR57" s="317"/>
      <c r="AS57" s="438">
        <f t="shared" si="55"/>
        <v>0.675</v>
      </c>
      <c r="AT57" s="321">
        <f>AA57*1490000*12</f>
        <v>118455000</v>
      </c>
      <c r="AU57" s="6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ht="15.75">
      <c r="A58" s="287" t="s">
        <v>139</v>
      </c>
      <c r="B58" s="313" t="s">
        <v>138</v>
      </c>
      <c r="C58" s="416">
        <v>6</v>
      </c>
      <c r="D58" s="416">
        <v>3</v>
      </c>
      <c r="E58" s="270">
        <f aca="true" t="shared" si="56" ref="E58:X58">SUM(E59:E62)</f>
        <v>33.10275</v>
      </c>
      <c r="F58" s="270">
        <f t="shared" si="56"/>
        <v>17.79</v>
      </c>
      <c r="G58" s="270">
        <f t="shared" si="56"/>
        <v>11.2425</v>
      </c>
      <c r="H58" s="270">
        <f t="shared" si="56"/>
        <v>2.0999999999999996</v>
      </c>
      <c r="I58" s="270">
        <f t="shared" si="56"/>
        <v>0.3</v>
      </c>
      <c r="J58" s="270">
        <f t="shared" si="56"/>
        <v>0</v>
      </c>
      <c r="K58" s="270">
        <f t="shared" si="56"/>
        <v>5.535</v>
      </c>
      <c r="L58" s="270">
        <f t="shared" si="56"/>
        <v>0</v>
      </c>
      <c r="M58" s="270">
        <f t="shared" si="56"/>
        <v>0</v>
      </c>
      <c r="N58" s="270">
        <f t="shared" si="56"/>
        <v>0</v>
      </c>
      <c r="O58" s="270">
        <f t="shared" si="56"/>
        <v>2.7675</v>
      </c>
      <c r="P58" s="270">
        <f t="shared" si="56"/>
        <v>0</v>
      </c>
      <c r="Q58" s="270">
        <f t="shared" si="56"/>
        <v>0</v>
      </c>
      <c r="R58" s="270">
        <f t="shared" si="56"/>
        <v>0</v>
      </c>
      <c r="S58" s="270">
        <f t="shared" si="56"/>
        <v>0</v>
      </c>
      <c r="T58" s="270">
        <f t="shared" si="56"/>
        <v>0</v>
      </c>
      <c r="U58" s="270">
        <f t="shared" si="56"/>
        <v>0.3</v>
      </c>
      <c r="V58" s="270">
        <f t="shared" si="56"/>
        <v>0</v>
      </c>
      <c r="W58" s="270">
        <f t="shared" si="56"/>
        <v>0.24</v>
      </c>
      <c r="X58" s="270">
        <f t="shared" si="56"/>
        <v>4.07025</v>
      </c>
      <c r="Y58" s="271">
        <f>ROUNDUP(SUM(Y59:Y62),-3)</f>
        <v>591878000</v>
      </c>
      <c r="Z58" s="317"/>
      <c r="AA58" s="317">
        <f t="shared" si="53"/>
        <v>5.3215</v>
      </c>
      <c r="AB58" s="318">
        <v>2.34</v>
      </c>
      <c r="AC58" s="319">
        <f t="shared" si="54"/>
        <v>2.455</v>
      </c>
      <c r="AD58" s="317">
        <v>0.7</v>
      </c>
      <c r="AE58" s="317"/>
      <c r="AF58" s="317"/>
      <c r="AG58" s="317">
        <f>(AB58+AE58)*50%</f>
        <v>1.17</v>
      </c>
      <c r="AH58" s="317"/>
      <c r="AI58" s="317"/>
      <c r="AJ58" s="317"/>
      <c r="AK58" s="317">
        <f>(AB58+AE58)*25%</f>
        <v>0.585</v>
      </c>
      <c r="AL58" s="318"/>
      <c r="AM58" s="317"/>
      <c r="AN58" s="317"/>
      <c r="AO58" s="317"/>
      <c r="AP58" s="320"/>
      <c r="AQ58" s="317"/>
      <c r="AR58" s="317"/>
      <c r="AS58" s="438">
        <f t="shared" si="55"/>
        <v>0.5265</v>
      </c>
      <c r="AT58" s="321">
        <f>AA58*1490000*8</f>
        <v>63432280.00000001</v>
      </c>
      <c r="AU58" s="16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</row>
    <row r="59" spans="1:75" ht="15.75">
      <c r="A59" s="287">
        <v>1</v>
      </c>
      <c r="B59" s="322" t="s">
        <v>29</v>
      </c>
      <c r="C59" s="417"/>
      <c r="D59" s="417"/>
      <c r="E59" s="290">
        <f>F59+G59+X59</f>
        <v>13.208499999999999</v>
      </c>
      <c r="F59" s="276">
        <v>5.76</v>
      </c>
      <c r="G59" s="275">
        <f>SUM(H59:W59)</f>
        <v>6.084999999999999</v>
      </c>
      <c r="H59" s="275">
        <v>0.7</v>
      </c>
      <c r="I59" s="275">
        <v>0.3</v>
      </c>
      <c r="J59" s="275"/>
      <c r="K59" s="275">
        <f>(F59+I59)*50%</f>
        <v>3.03</v>
      </c>
      <c r="L59" s="275"/>
      <c r="M59" s="275"/>
      <c r="N59" s="275"/>
      <c r="O59" s="290">
        <f>(F59+I59)*25%</f>
        <v>1.515</v>
      </c>
      <c r="P59" s="275"/>
      <c r="Q59" s="275"/>
      <c r="R59" s="275"/>
      <c r="S59" s="276"/>
      <c r="T59" s="275"/>
      <c r="U59" s="275">
        <v>0.3</v>
      </c>
      <c r="V59" s="275"/>
      <c r="W59" s="290">
        <v>0.24</v>
      </c>
      <c r="X59" s="275">
        <f>(F59+I59)*0.225</f>
        <v>1.3635</v>
      </c>
      <c r="Y59" s="278">
        <f>E59*1490000*12</f>
        <v>236167980</v>
      </c>
      <c r="Z59" s="323"/>
      <c r="AA59" s="317">
        <f t="shared" si="53"/>
        <v>2.8665</v>
      </c>
      <c r="AB59" s="324">
        <v>2.34</v>
      </c>
      <c r="AC59" s="319">
        <f t="shared" si="54"/>
        <v>0</v>
      </c>
      <c r="AD59" s="317"/>
      <c r="AE59" s="323"/>
      <c r="AF59" s="323"/>
      <c r="AG59" s="317"/>
      <c r="AH59" s="323"/>
      <c r="AI59" s="323"/>
      <c r="AJ59" s="323"/>
      <c r="AK59" s="317"/>
      <c r="AL59" s="324"/>
      <c r="AM59" s="323"/>
      <c r="AN59" s="323"/>
      <c r="AO59" s="323"/>
      <c r="AP59" s="325"/>
      <c r="AQ59" s="323"/>
      <c r="AR59" s="323"/>
      <c r="AS59" s="438">
        <f>(AB59+AE59)*22.5%</f>
        <v>0.5265</v>
      </c>
      <c r="AT59" s="321">
        <f>AA59*1490000*4</f>
        <v>17084340</v>
      </c>
      <c r="AU59" s="6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ht="15.75">
      <c r="A60" s="287">
        <v>2</v>
      </c>
      <c r="B60" s="322" t="s">
        <v>137</v>
      </c>
      <c r="C60" s="417"/>
      <c r="D60" s="417"/>
      <c r="E60" s="290">
        <f>F60+G60+X60</f>
        <v>5.97325</v>
      </c>
      <c r="F60" s="276">
        <v>2.67</v>
      </c>
      <c r="G60" s="275">
        <f>SUM(H60:W60)</f>
        <v>2.7025</v>
      </c>
      <c r="H60" s="275">
        <v>0.7</v>
      </c>
      <c r="I60" s="275"/>
      <c r="J60" s="275"/>
      <c r="K60" s="275">
        <f>(F60+I60)*50%</f>
        <v>1.335</v>
      </c>
      <c r="L60" s="275"/>
      <c r="M60" s="275"/>
      <c r="N60" s="275"/>
      <c r="O60" s="290">
        <f>(F60+I60)*25%</f>
        <v>0.6675</v>
      </c>
      <c r="P60" s="275"/>
      <c r="Q60" s="275"/>
      <c r="R60" s="275"/>
      <c r="S60" s="276"/>
      <c r="T60" s="275"/>
      <c r="U60" s="275"/>
      <c r="V60" s="275"/>
      <c r="W60" s="290"/>
      <c r="X60" s="275">
        <f>(F60+I60)*0.225</f>
        <v>0.60075</v>
      </c>
      <c r="Y60" s="278">
        <f>E60*1490000*12</f>
        <v>106801710</v>
      </c>
      <c r="Z60" s="319"/>
      <c r="AA60" s="317">
        <f t="shared" si="53"/>
        <v>6.625</v>
      </c>
      <c r="AB60" s="319">
        <v>3</v>
      </c>
      <c r="AC60" s="319">
        <f t="shared" si="54"/>
        <v>2.95</v>
      </c>
      <c r="AD60" s="317">
        <v>0.7</v>
      </c>
      <c r="AE60" s="319"/>
      <c r="AF60" s="319"/>
      <c r="AG60" s="317">
        <f>(AB60+AE60)*50%</f>
        <v>1.5</v>
      </c>
      <c r="AH60" s="319"/>
      <c r="AI60" s="319"/>
      <c r="AJ60" s="319"/>
      <c r="AK60" s="317">
        <f>(AB60+AE60)*25%</f>
        <v>0.75</v>
      </c>
      <c r="AL60" s="319"/>
      <c r="AM60" s="319"/>
      <c r="AN60" s="319"/>
      <c r="AO60" s="319"/>
      <c r="AP60" s="319"/>
      <c r="AQ60" s="319"/>
      <c r="AR60" s="319"/>
      <c r="AS60" s="438">
        <f t="shared" si="55"/>
        <v>0.675</v>
      </c>
      <c r="AT60" s="321">
        <f>AA60*1490000*12</f>
        <v>118455000</v>
      </c>
      <c r="AU60" s="6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ht="15.75">
      <c r="A61" s="287">
        <v>3</v>
      </c>
      <c r="B61" s="322" t="s">
        <v>136</v>
      </c>
      <c r="C61" s="417"/>
      <c r="D61" s="417"/>
      <c r="E61" s="290">
        <f>F61+G61+X61</f>
        <v>8.599499999999999</v>
      </c>
      <c r="F61" s="276">
        <f>3*2.34</f>
        <v>7.02</v>
      </c>
      <c r="G61" s="275">
        <f>SUM(H61:W61)</f>
        <v>0</v>
      </c>
      <c r="H61" s="275"/>
      <c r="I61" s="275"/>
      <c r="J61" s="275"/>
      <c r="K61" s="275"/>
      <c r="L61" s="275"/>
      <c r="M61" s="275"/>
      <c r="N61" s="275"/>
      <c r="O61" s="290"/>
      <c r="P61" s="275"/>
      <c r="Q61" s="275"/>
      <c r="R61" s="275"/>
      <c r="S61" s="276"/>
      <c r="T61" s="275"/>
      <c r="U61" s="275"/>
      <c r="V61" s="275"/>
      <c r="W61" s="290"/>
      <c r="X61" s="275">
        <f>(F61+I61)*0.225</f>
        <v>1.5795</v>
      </c>
      <c r="Y61" s="278">
        <f>E61*1490000*12</f>
        <v>153759059.99999997</v>
      </c>
      <c r="Z61" s="319"/>
      <c r="AA61" s="317">
        <f t="shared" si="53"/>
        <v>8.580250000000001</v>
      </c>
      <c r="AB61" s="319">
        <v>3.99</v>
      </c>
      <c r="AC61" s="319">
        <f t="shared" si="54"/>
        <v>3.6925000000000003</v>
      </c>
      <c r="AD61" s="317">
        <v>0.7</v>
      </c>
      <c r="AE61" s="319"/>
      <c r="AF61" s="319"/>
      <c r="AG61" s="317">
        <f>(AB61+AE61)*50%</f>
        <v>1.995</v>
      </c>
      <c r="AH61" s="319"/>
      <c r="AI61" s="319"/>
      <c r="AJ61" s="319"/>
      <c r="AK61" s="317">
        <f>(AB61+AE61)*25%</f>
        <v>0.9975</v>
      </c>
      <c r="AL61" s="319"/>
      <c r="AM61" s="319"/>
      <c r="AN61" s="319"/>
      <c r="AO61" s="319"/>
      <c r="AP61" s="319"/>
      <c r="AQ61" s="319"/>
      <c r="AR61" s="319"/>
      <c r="AS61" s="438">
        <f t="shared" si="55"/>
        <v>0.89775</v>
      </c>
      <c r="AT61" s="321">
        <f>AA61*1490000*12</f>
        <v>153414870.00000003</v>
      </c>
      <c r="AU61" s="6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ht="15.75">
      <c r="A62" s="287">
        <v>4</v>
      </c>
      <c r="B62" s="322" t="s">
        <v>135</v>
      </c>
      <c r="C62" s="417"/>
      <c r="D62" s="417"/>
      <c r="E62" s="290">
        <f>F62+G62+X62</f>
        <v>5.3215</v>
      </c>
      <c r="F62" s="276">
        <v>2.34</v>
      </c>
      <c r="G62" s="275">
        <f>SUM(H62:W62)</f>
        <v>2.455</v>
      </c>
      <c r="H62" s="275">
        <v>0.7</v>
      </c>
      <c r="I62" s="275"/>
      <c r="J62" s="275"/>
      <c r="K62" s="275">
        <f>(F62+I62)*50%</f>
        <v>1.17</v>
      </c>
      <c r="L62" s="275"/>
      <c r="M62" s="275"/>
      <c r="N62" s="275"/>
      <c r="O62" s="290">
        <f>(F62+I62)*25%</f>
        <v>0.585</v>
      </c>
      <c r="P62" s="275"/>
      <c r="Q62" s="275"/>
      <c r="R62" s="275"/>
      <c r="S62" s="276"/>
      <c r="T62" s="275"/>
      <c r="U62" s="275"/>
      <c r="V62" s="275"/>
      <c r="W62" s="290"/>
      <c r="X62" s="275">
        <f>(F62+I62)*0.225</f>
        <v>0.5265</v>
      </c>
      <c r="Y62" s="278">
        <f>E62*1490000*12</f>
        <v>95148420.00000001</v>
      </c>
      <c r="Z62" s="319"/>
      <c r="AA62" s="317">
        <f t="shared" si="53"/>
        <v>2.8665</v>
      </c>
      <c r="AB62" s="319">
        <f>2.34</f>
        <v>2.34</v>
      </c>
      <c r="AC62" s="319">
        <f t="shared" si="54"/>
        <v>0</v>
      </c>
      <c r="AD62" s="317"/>
      <c r="AE62" s="319"/>
      <c r="AF62" s="319"/>
      <c r="AG62" s="317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438">
        <f>(AB62+AE62)*22.5%</f>
        <v>0.5265</v>
      </c>
      <c r="AT62" s="321">
        <f>AA62*1490000*12</f>
        <v>51253020</v>
      </c>
      <c r="AU62" s="6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ht="15.75">
      <c r="A63" s="287" t="s">
        <v>134</v>
      </c>
      <c r="B63" s="326" t="s">
        <v>133</v>
      </c>
      <c r="C63" s="416">
        <v>4</v>
      </c>
      <c r="D63" s="416">
        <v>4</v>
      </c>
      <c r="E63" s="327">
        <f aca="true" t="shared" si="57" ref="E63:X63">SUM(E64:E67)</f>
        <v>34.49</v>
      </c>
      <c r="F63" s="327">
        <f t="shared" si="57"/>
        <v>15.3</v>
      </c>
      <c r="G63" s="327">
        <f t="shared" si="57"/>
        <v>15.635000000000002</v>
      </c>
      <c r="H63" s="327">
        <f t="shared" si="57"/>
        <v>2.8</v>
      </c>
      <c r="I63" s="327">
        <f t="shared" si="57"/>
        <v>0.5</v>
      </c>
      <c r="J63" s="327">
        <f t="shared" si="57"/>
        <v>0</v>
      </c>
      <c r="K63" s="327">
        <f t="shared" si="57"/>
        <v>7.9</v>
      </c>
      <c r="L63" s="327">
        <f t="shared" si="57"/>
        <v>0</v>
      </c>
      <c r="M63" s="327">
        <f t="shared" si="57"/>
        <v>0</v>
      </c>
      <c r="N63" s="327">
        <f t="shared" si="57"/>
        <v>0</v>
      </c>
      <c r="O63" s="327">
        <f t="shared" si="57"/>
        <v>3.95</v>
      </c>
      <c r="P63" s="327">
        <f t="shared" si="57"/>
        <v>0</v>
      </c>
      <c r="Q63" s="327">
        <f t="shared" si="57"/>
        <v>0</v>
      </c>
      <c r="R63" s="327">
        <f t="shared" si="57"/>
        <v>0</v>
      </c>
      <c r="S63" s="327">
        <f t="shared" si="57"/>
        <v>0</v>
      </c>
      <c r="T63" s="327">
        <f t="shared" si="57"/>
        <v>0</v>
      </c>
      <c r="U63" s="327">
        <f t="shared" si="57"/>
        <v>0.4850000000000001</v>
      </c>
      <c r="V63" s="327">
        <f t="shared" si="57"/>
        <v>0</v>
      </c>
      <c r="W63" s="327">
        <f t="shared" si="57"/>
        <v>0</v>
      </c>
      <c r="X63" s="327">
        <f t="shared" si="57"/>
        <v>3.555</v>
      </c>
      <c r="Y63" s="271">
        <f>ROUNDUP(SUM(Y64:Y67),-3)</f>
        <v>616682000</v>
      </c>
      <c r="Z63" s="314"/>
      <c r="AA63" s="328">
        <f>SUM(AA64:AA70)</f>
        <v>50.34575</v>
      </c>
      <c r="AB63" s="328">
        <f aca="true" t="shared" si="58" ref="AB63:AS63">SUM(AB64:AB70)</f>
        <v>23.97</v>
      </c>
      <c r="AC63" s="328">
        <f t="shared" si="58"/>
        <v>20.7575</v>
      </c>
      <c r="AD63" s="328">
        <f t="shared" si="58"/>
        <v>3.5</v>
      </c>
      <c r="AE63" s="328">
        <f t="shared" si="58"/>
        <v>1</v>
      </c>
      <c r="AF63" s="328">
        <f t="shared" si="58"/>
        <v>0</v>
      </c>
      <c r="AG63" s="328">
        <f t="shared" si="58"/>
        <v>10.145</v>
      </c>
      <c r="AH63" s="328">
        <f t="shared" si="58"/>
        <v>0</v>
      </c>
      <c r="AI63" s="328">
        <f t="shared" si="58"/>
        <v>0</v>
      </c>
      <c r="AJ63" s="328">
        <f t="shared" si="58"/>
        <v>0</v>
      </c>
      <c r="AK63" s="328">
        <f t="shared" si="58"/>
        <v>5.0725</v>
      </c>
      <c r="AL63" s="328">
        <f t="shared" si="58"/>
        <v>0</v>
      </c>
      <c r="AM63" s="328">
        <f t="shared" si="58"/>
        <v>0</v>
      </c>
      <c r="AN63" s="328">
        <f t="shared" si="58"/>
        <v>0.6</v>
      </c>
      <c r="AO63" s="328">
        <f t="shared" si="58"/>
        <v>0</v>
      </c>
      <c r="AP63" s="328">
        <f t="shared" si="58"/>
        <v>0</v>
      </c>
      <c r="AQ63" s="328">
        <f t="shared" si="58"/>
        <v>0</v>
      </c>
      <c r="AR63" s="328">
        <f t="shared" si="58"/>
        <v>0.44</v>
      </c>
      <c r="AS63" s="439">
        <f t="shared" si="58"/>
        <v>5.61825</v>
      </c>
      <c r="AT63" s="459">
        <f>SUM(AT64:AT70)</f>
        <v>725827425</v>
      </c>
      <c r="AU63" s="16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</row>
    <row r="64" spans="1:75" ht="15.75">
      <c r="A64" s="273">
        <v>1</v>
      </c>
      <c r="B64" s="322" t="s">
        <v>56</v>
      </c>
      <c r="C64" s="417"/>
      <c r="D64" s="417"/>
      <c r="E64" s="290">
        <f>F64+G64+X64</f>
        <v>8.521</v>
      </c>
      <c r="F64" s="276">
        <v>3.66</v>
      </c>
      <c r="G64" s="275">
        <f>H64+I64+J64+K64+L64+M64+N64+O64+P64+Q64+R64+S64+T64+U64+W64</f>
        <v>3.9699999999999998</v>
      </c>
      <c r="H64" s="275">
        <v>0.7</v>
      </c>
      <c r="I64" s="275">
        <v>0.3</v>
      </c>
      <c r="J64" s="275"/>
      <c r="K64" s="275">
        <f>(F64+I64+J64+M64)*0.5</f>
        <v>1.98</v>
      </c>
      <c r="L64" s="275"/>
      <c r="M64" s="275"/>
      <c r="N64" s="275"/>
      <c r="O64" s="290">
        <f>(F64+I64)*0.25</f>
        <v>0.99</v>
      </c>
      <c r="P64" s="275"/>
      <c r="Q64" s="275"/>
      <c r="R64" s="275"/>
      <c r="S64" s="276"/>
      <c r="T64" s="275"/>
      <c r="U64" s="290"/>
      <c r="V64" s="290"/>
      <c r="W64" s="290"/>
      <c r="X64" s="275">
        <f>(F64+I64)*0.225</f>
        <v>0.891</v>
      </c>
      <c r="Y64" s="278">
        <f>E64*1490000*12</f>
        <v>152355480.00000003</v>
      </c>
      <c r="Z64" s="314"/>
      <c r="AA64" s="329">
        <f aca="true" t="shared" si="59" ref="AA64:AA70">AB64+AC64+AS64</f>
        <v>9.692749999999998</v>
      </c>
      <c r="AB64" s="330">
        <v>3.99</v>
      </c>
      <c r="AC64" s="329">
        <f aca="true" t="shared" si="60" ref="AC64:AC70">SUM(AD64:AR64)</f>
        <v>4.7375</v>
      </c>
      <c r="AD64" s="330">
        <v>0.7</v>
      </c>
      <c r="AE64" s="330">
        <v>0.3</v>
      </c>
      <c r="AF64" s="330"/>
      <c r="AG64" s="329">
        <f>(AB64+AE64)*50%</f>
        <v>2.145</v>
      </c>
      <c r="AH64" s="330"/>
      <c r="AI64" s="330"/>
      <c r="AJ64" s="330"/>
      <c r="AK64" s="329">
        <f>(AB64+AE64)*25%</f>
        <v>1.0725</v>
      </c>
      <c r="AL64" s="330"/>
      <c r="AM64" s="330"/>
      <c r="AN64" s="330">
        <v>0.3</v>
      </c>
      <c r="AO64" s="330"/>
      <c r="AP64" s="330"/>
      <c r="AQ64" s="330"/>
      <c r="AR64" s="330">
        <v>0.22</v>
      </c>
      <c r="AS64" s="440">
        <f aca="true" t="shared" si="61" ref="AS64:AS70">(AB64+AE64)*22.5%</f>
        <v>0.96525</v>
      </c>
      <c r="AT64" s="460">
        <f>AA64*1490000*2</f>
        <v>28884394.999999996</v>
      </c>
      <c r="AU64" s="6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ht="15.75">
      <c r="A65" s="273">
        <v>2</v>
      </c>
      <c r="B65" s="322" t="s">
        <v>132</v>
      </c>
      <c r="C65" s="417"/>
      <c r="D65" s="417"/>
      <c r="E65" s="290">
        <f>F65+G65+X65</f>
        <v>10.763750000000002</v>
      </c>
      <c r="F65" s="276">
        <v>4.65</v>
      </c>
      <c r="G65" s="275">
        <f>H65+I65+J65+K65+L65+M65+N65+O65+P65+Q65+R65+S65+T65+U65+W65</f>
        <v>5.022500000000001</v>
      </c>
      <c r="H65" s="275">
        <v>0.7</v>
      </c>
      <c r="I65" s="275">
        <v>0.2</v>
      </c>
      <c r="J65" s="275"/>
      <c r="K65" s="275">
        <f>(F65+I65+J65+M65)*0.5</f>
        <v>2.4250000000000003</v>
      </c>
      <c r="L65" s="275"/>
      <c r="M65" s="275"/>
      <c r="N65" s="275"/>
      <c r="O65" s="290">
        <f>(F65+I65)*0.25</f>
        <v>1.2125000000000001</v>
      </c>
      <c r="P65" s="275"/>
      <c r="Q65" s="275"/>
      <c r="R65" s="275"/>
      <c r="S65" s="276"/>
      <c r="T65" s="275"/>
      <c r="U65" s="290">
        <f>(F65+I65)*0.1</f>
        <v>0.4850000000000001</v>
      </c>
      <c r="V65" s="290"/>
      <c r="W65" s="290"/>
      <c r="X65" s="275">
        <f>(F65+I65)*0.225</f>
        <v>1.09125</v>
      </c>
      <c r="Y65" s="278">
        <f>E65*1490000*12</f>
        <v>192455850.00000003</v>
      </c>
      <c r="Z65" s="331"/>
      <c r="AA65" s="329">
        <f t="shared" si="59"/>
        <v>10.0445</v>
      </c>
      <c r="AB65" s="329">
        <v>4.32</v>
      </c>
      <c r="AC65" s="329">
        <f t="shared" si="60"/>
        <v>4.685</v>
      </c>
      <c r="AD65" s="329">
        <v>0.7</v>
      </c>
      <c r="AE65" s="329">
        <v>0.3</v>
      </c>
      <c r="AF65" s="329"/>
      <c r="AG65" s="329">
        <f>(AB65+AE65)*50%</f>
        <v>2.31</v>
      </c>
      <c r="AH65" s="329"/>
      <c r="AI65" s="329"/>
      <c r="AJ65" s="329"/>
      <c r="AK65" s="329">
        <f>(AB65+AE65)*25%</f>
        <v>1.155</v>
      </c>
      <c r="AL65" s="329"/>
      <c r="AM65" s="329"/>
      <c r="AN65" s="329"/>
      <c r="AO65" s="329"/>
      <c r="AP65" s="329"/>
      <c r="AQ65" s="329"/>
      <c r="AR65" s="329">
        <v>0.22</v>
      </c>
      <c r="AS65" s="440">
        <f t="shared" si="61"/>
        <v>1.0395</v>
      </c>
      <c r="AT65" s="460">
        <f>AA65*1490000*10</f>
        <v>149663049.99999997</v>
      </c>
      <c r="AU65" s="6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ht="15.75">
      <c r="A66" s="287">
        <v>3</v>
      </c>
      <c r="B66" s="322" t="s">
        <v>131</v>
      </c>
      <c r="C66" s="417"/>
      <c r="D66" s="417"/>
      <c r="E66" s="290">
        <f>F66+G66+X66</f>
        <v>9.232000000000001</v>
      </c>
      <c r="F66" s="276">
        <v>4.32</v>
      </c>
      <c r="G66" s="275">
        <f>SUM(H66:W66)</f>
        <v>3.9400000000000004</v>
      </c>
      <c r="H66" s="275">
        <v>0.7</v>
      </c>
      <c r="I66" s="275"/>
      <c r="J66" s="275"/>
      <c r="K66" s="275">
        <f>(F66+I66)*50%</f>
        <v>2.16</v>
      </c>
      <c r="L66" s="275"/>
      <c r="M66" s="275"/>
      <c r="N66" s="275"/>
      <c r="O66" s="290">
        <f>(F66+I66)*25%</f>
        <v>1.08</v>
      </c>
      <c r="P66" s="275"/>
      <c r="Q66" s="275"/>
      <c r="R66" s="275"/>
      <c r="S66" s="276"/>
      <c r="T66" s="275"/>
      <c r="U66" s="275"/>
      <c r="V66" s="275"/>
      <c r="W66" s="290"/>
      <c r="X66" s="275">
        <f>(F66+I66)*0.225</f>
        <v>0.9720000000000001</v>
      </c>
      <c r="Y66" s="278">
        <f>E66*1490000*12</f>
        <v>165068160.00000003</v>
      </c>
      <c r="Z66" s="331"/>
      <c r="AA66" s="329">
        <f t="shared" si="59"/>
        <v>9.927</v>
      </c>
      <c r="AB66" s="329">
        <v>4.32</v>
      </c>
      <c r="AC66" s="329">
        <f t="shared" si="60"/>
        <v>4.59</v>
      </c>
      <c r="AD66" s="329">
        <v>0.7</v>
      </c>
      <c r="AE66" s="329">
        <v>0.2</v>
      </c>
      <c r="AF66" s="329"/>
      <c r="AG66" s="329">
        <f>(AB66+AE66)*50%</f>
        <v>2.2600000000000002</v>
      </c>
      <c r="AH66" s="329"/>
      <c r="AI66" s="329"/>
      <c r="AJ66" s="329"/>
      <c r="AK66" s="329">
        <f>(AB66+AE66)*25%</f>
        <v>1.1300000000000001</v>
      </c>
      <c r="AL66" s="329"/>
      <c r="AM66" s="329"/>
      <c r="AN66" s="329">
        <v>0.3</v>
      </c>
      <c r="AO66" s="329"/>
      <c r="AP66" s="329"/>
      <c r="AQ66" s="329"/>
      <c r="AR66" s="329"/>
      <c r="AS66" s="440">
        <f t="shared" si="61"/>
        <v>1.0170000000000001</v>
      </c>
      <c r="AT66" s="460">
        <f>AA66*1490000*12</f>
        <v>177494760</v>
      </c>
      <c r="AU66" s="6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ht="15.75">
      <c r="A67" s="273">
        <v>4</v>
      </c>
      <c r="B67" s="322" t="s">
        <v>130</v>
      </c>
      <c r="C67" s="417"/>
      <c r="D67" s="417"/>
      <c r="E67" s="290">
        <f>F67+G67+X67</f>
        <v>5.97325</v>
      </c>
      <c r="F67" s="276">
        <v>2.67</v>
      </c>
      <c r="G67" s="275">
        <f>H67+I67+J67+K67+L67+M67+N67+O67+P67+Q67+R67+S67+T67+U67+W67</f>
        <v>2.7025</v>
      </c>
      <c r="H67" s="275">
        <v>0.7</v>
      </c>
      <c r="I67" s="275"/>
      <c r="J67" s="275"/>
      <c r="K67" s="275">
        <f>(F67+I67+J67+M67)*0.5</f>
        <v>1.335</v>
      </c>
      <c r="L67" s="275"/>
      <c r="M67" s="275"/>
      <c r="N67" s="275"/>
      <c r="O67" s="290">
        <f>(F67+I67)*0.25</f>
        <v>0.6675</v>
      </c>
      <c r="P67" s="275"/>
      <c r="Q67" s="275"/>
      <c r="R67" s="275"/>
      <c r="S67" s="276"/>
      <c r="T67" s="275"/>
      <c r="U67" s="275"/>
      <c r="V67" s="275"/>
      <c r="W67" s="290"/>
      <c r="X67" s="275">
        <f>(F67+I67)*0.225</f>
        <v>0.60075</v>
      </c>
      <c r="Y67" s="278">
        <f>E67*1490000*12</f>
        <v>106801710</v>
      </c>
      <c r="Z67" s="331"/>
      <c r="AA67" s="329">
        <f t="shared" si="59"/>
        <v>8.97525</v>
      </c>
      <c r="AB67" s="329">
        <v>3.99</v>
      </c>
      <c r="AC67" s="329">
        <f t="shared" si="60"/>
        <v>4.0425</v>
      </c>
      <c r="AD67" s="329">
        <v>0.7</v>
      </c>
      <c r="AE67" s="329">
        <v>0.2</v>
      </c>
      <c r="AF67" s="329"/>
      <c r="AG67" s="329">
        <f>(AB67+AE67)*50%</f>
        <v>2.095</v>
      </c>
      <c r="AH67" s="329"/>
      <c r="AI67" s="329"/>
      <c r="AJ67" s="329"/>
      <c r="AK67" s="329">
        <f>(AB67+AE67)*25%</f>
        <v>1.0475</v>
      </c>
      <c r="AL67" s="329"/>
      <c r="AM67" s="329"/>
      <c r="AN67" s="329"/>
      <c r="AO67" s="329"/>
      <c r="AP67" s="329"/>
      <c r="AQ67" s="329"/>
      <c r="AR67" s="329"/>
      <c r="AS67" s="440">
        <f t="shared" si="61"/>
        <v>0.9427500000000001</v>
      </c>
      <c r="AT67" s="460">
        <f>AA67*1490000*12</f>
        <v>160477470.00000003</v>
      </c>
      <c r="AU67" s="6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ht="15.75">
      <c r="A68" s="287" t="s">
        <v>129</v>
      </c>
      <c r="B68" s="326" t="s">
        <v>128</v>
      </c>
      <c r="C68" s="416">
        <v>3</v>
      </c>
      <c r="D68" s="416">
        <v>2</v>
      </c>
      <c r="E68" s="327">
        <f aca="true" t="shared" si="62" ref="E68:U68">E69</f>
        <v>0</v>
      </c>
      <c r="F68" s="327">
        <f t="shared" si="62"/>
        <v>0</v>
      </c>
      <c r="G68" s="327">
        <f t="shared" si="62"/>
        <v>0</v>
      </c>
      <c r="H68" s="327">
        <f t="shared" si="62"/>
        <v>0</v>
      </c>
      <c r="I68" s="327">
        <f t="shared" si="62"/>
        <v>0</v>
      </c>
      <c r="J68" s="327">
        <f t="shared" si="62"/>
        <v>0</v>
      </c>
      <c r="K68" s="327">
        <f t="shared" si="62"/>
        <v>0</v>
      </c>
      <c r="L68" s="327">
        <f t="shared" si="62"/>
        <v>0</v>
      </c>
      <c r="M68" s="327">
        <f t="shared" si="62"/>
        <v>0</v>
      </c>
      <c r="N68" s="327">
        <f t="shared" si="62"/>
        <v>0</v>
      </c>
      <c r="O68" s="327">
        <f t="shared" si="62"/>
        <v>0</v>
      </c>
      <c r="P68" s="327">
        <f t="shared" si="62"/>
        <v>0</v>
      </c>
      <c r="Q68" s="327">
        <f t="shared" si="62"/>
        <v>0</v>
      </c>
      <c r="R68" s="327">
        <f t="shared" si="62"/>
        <v>0</v>
      </c>
      <c r="S68" s="327">
        <f t="shared" si="62"/>
        <v>0</v>
      </c>
      <c r="T68" s="327">
        <f t="shared" si="62"/>
        <v>0</v>
      </c>
      <c r="U68" s="327">
        <f t="shared" si="62"/>
        <v>0</v>
      </c>
      <c r="V68" s="327"/>
      <c r="W68" s="327">
        <f>W69</f>
        <v>0</v>
      </c>
      <c r="X68" s="327">
        <f>X69</f>
        <v>0</v>
      </c>
      <c r="Y68" s="271">
        <f>Y69</f>
        <v>0</v>
      </c>
      <c r="Z68" s="332"/>
      <c r="AA68" s="329">
        <f t="shared" si="59"/>
        <v>5.97325</v>
      </c>
      <c r="AB68" s="333">
        <v>2.67</v>
      </c>
      <c r="AC68" s="333">
        <f t="shared" si="60"/>
        <v>2.7025</v>
      </c>
      <c r="AD68" s="333">
        <v>0.7</v>
      </c>
      <c r="AE68" s="333"/>
      <c r="AF68" s="333"/>
      <c r="AG68" s="333">
        <f>(AB68+AE68)*50%</f>
        <v>1.335</v>
      </c>
      <c r="AH68" s="333"/>
      <c r="AI68" s="333"/>
      <c r="AJ68" s="333"/>
      <c r="AK68" s="333">
        <f>(AB68+AE68)*25%</f>
        <v>0.6675</v>
      </c>
      <c r="AL68" s="333"/>
      <c r="AM68" s="333"/>
      <c r="AN68" s="333"/>
      <c r="AO68" s="333"/>
      <c r="AP68" s="333"/>
      <c r="AQ68" s="333"/>
      <c r="AR68" s="333"/>
      <c r="AS68" s="441">
        <f t="shared" si="61"/>
        <v>0.60075</v>
      </c>
      <c r="AT68" s="460">
        <f>AA68*1490000*12</f>
        <v>106801710</v>
      </c>
      <c r="AU68" s="16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</row>
    <row r="69" spans="1:75" ht="15.75">
      <c r="A69" s="287"/>
      <c r="B69" s="326"/>
      <c r="C69" s="416"/>
      <c r="D69" s="416"/>
      <c r="E69" s="327"/>
      <c r="F69" s="334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277"/>
      <c r="T69" s="327"/>
      <c r="U69" s="327"/>
      <c r="V69" s="327"/>
      <c r="W69" s="327"/>
      <c r="X69" s="327"/>
      <c r="Y69" s="271"/>
      <c r="Z69" s="335"/>
      <c r="AA69" s="329">
        <f t="shared" si="59"/>
        <v>2.8665</v>
      </c>
      <c r="AB69" s="336">
        <v>2.34</v>
      </c>
      <c r="AC69" s="333">
        <f t="shared" si="60"/>
        <v>0</v>
      </c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442">
        <f t="shared" si="61"/>
        <v>0.5265</v>
      </c>
      <c r="AT69" s="460">
        <f>AA69*1490000*12</f>
        <v>51253020</v>
      </c>
      <c r="AU69" s="16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</row>
    <row r="70" spans="1:75" ht="15.75">
      <c r="A70" s="273"/>
      <c r="B70" s="322"/>
      <c r="C70" s="417"/>
      <c r="D70" s="417"/>
      <c r="E70" s="275"/>
      <c r="F70" s="276"/>
      <c r="G70" s="275"/>
      <c r="H70" s="275"/>
      <c r="I70" s="275"/>
      <c r="J70" s="275"/>
      <c r="K70" s="275"/>
      <c r="L70" s="275"/>
      <c r="M70" s="275"/>
      <c r="N70" s="275"/>
      <c r="O70" s="290"/>
      <c r="P70" s="275"/>
      <c r="Q70" s="275"/>
      <c r="R70" s="275"/>
      <c r="S70" s="276"/>
      <c r="T70" s="275"/>
      <c r="U70" s="275"/>
      <c r="V70" s="275"/>
      <c r="W70" s="290"/>
      <c r="X70" s="275"/>
      <c r="Y70" s="278"/>
      <c r="Z70" s="335"/>
      <c r="AA70" s="329">
        <f t="shared" si="59"/>
        <v>2.8665</v>
      </c>
      <c r="AB70" s="336">
        <v>2.34</v>
      </c>
      <c r="AC70" s="333">
        <f t="shared" si="60"/>
        <v>0</v>
      </c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442">
        <f t="shared" si="61"/>
        <v>0.5265</v>
      </c>
      <c r="AT70" s="460">
        <f>AA70*1490000*12</f>
        <v>51253020</v>
      </c>
      <c r="AU70" s="6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ht="15.75">
      <c r="A71" s="287"/>
      <c r="B71" s="322"/>
      <c r="C71" s="417"/>
      <c r="D71" s="417"/>
      <c r="E71" s="290"/>
      <c r="F71" s="276"/>
      <c r="G71" s="275"/>
      <c r="H71" s="275"/>
      <c r="I71" s="275"/>
      <c r="J71" s="275"/>
      <c r="K71" s="275"/>
      <c r="L71" s="275"/>
      <c r="M71" s="275"/>
      <c r="N71" s="275"/>
      <c r="O71" s="290"/>
      <c r="P71" s="275"/>
      <c r="Q71" s="275"/>
      <c r="R71" s="275"/>
      <c r="S71" s="276"/>
      <c r="T71" s="275"/>
      <c r="U71" s="275"/>
      <c r="V71" s="275"/>
      <c r="W71" s="290"/>
      <c r="X71" s="275"/>
      <c r="Y71" s="278"/>
      <c r="Z71" s="314"/>
      <c r="AA71" s="314">
        <f>SUM(AA73:AA77)</f>
        <v>44.96625</v>
      </c>
      <c r="AB71" s="314">
        <f aca="true" t="shared" si="63" ref="AB71:AT71">SUM(AB73:AB77)</f>
        <v>19.950000000000003</v>
      </c>
      <c r="AC71" s="314">
        <f t="shared" si="63"/>
        <v>20.347500000000004</v>
      </c>
      <c r="AD71" s="314">
        <f t="shared" si="63"/>
        <v>3.5</v>
      </c>
      <c r="AE71" s="314">
        <f t="shared" si="63"/>
        <v>0.8</v>
      </c>
      <c r="AF71" s="314">
        <f t="shared" si="63"/>
        <v>0</v>
      </c>
      <c r="AG71" s="314">
        <f t="shared" si="63"/>
        <v>10.375</v>
      </c>
      <c r="AH71" s="314">
        <f t="shared" si="63"/>
        <v>0</v>
      </c>
      <c r="AI71" s="314">
        <f t="shared" si="63"/>
        <v>0</v>
      </c>
      <c r="AJ71" s="314">
        <f t="shared" si="63"/>
        <v>0</v>
      </c>
      <c r="AK71" s="314">
        <f t="shared" si="63"/>
        <v>5.1875</v>
      </c>
      <c r="AL71" s="314">
        <f t="shared" si="63"/>
        <v>0</v>
      </c>
      <c r="AM71" s="314">
        <f t="shared" si="63"/>
        <v>0</v>
      </c>
      <c r="AN71" s="314">
        <f t="shared" si="63"/>
        <v>0</v>
      </c>
      <c r="AO71" s="314">
        <f t="shared" si="63"/>
        <v>0</v>
      </c>
      <c r="AP71" s="314">
        <f t="shared" si="63"/>
        <v>0</v>
      </c>
      <c r="AQ71" s="314">
        <f t="shared" si="63"/>
        <v>0.4850000000000001</v>
      </c>
      <c r="AR71" s="314">
        <f t="shared" si="63"/>
        <v>0</v>
      </c>
      <c r="AS71" s="437">
        <f t="shared" si="63"/>
        <v>4.66875</v>
      </c>
      <c r="AT71" s="458">
        <f t="shared" si="63"/>
        <v>630204812.5</v>
      </c>
      <c r="AU71" s="6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ht="15.75">
      <c r="A72" s="273"/>
      <c r="B72" s="322"/>
      <c r="C72" s="417"/>
      <c r="D72" s="417"/>
      <c r="E72" s="275"/>
      <c r="F72" s="276"/>
      <c r="G72" s="275"/>
      <c r="H72" s="275"/>
      <c r="I72" s="275"/>
      <c r="J72" s="275"/>
      <c r="K72" s="275"/>
      <c r="L72" s="275"/>
      <c r="M72" s="275"/>
      <c r="N72" s="275"/>
      <c r="O72" s="290"/>
      <c r="P72" s="275"/>
      <c r="Q72" s="275"/>
      <c r="R72" s="275"/>
      <c r="S72" s="276"/>
      <c r="T72" s="275"/>
      <c r="U72" s="275"/>
      <c r="V72" s="275"/>
      <c r="W72" s="290"/>
      <c r="X72" s="275"/>
      <c r="Y72" s="278"/>
      <c r="Z72" s="314">
        <v>6</v>
      </c>
      <c r="AA72" s="314">
        <f>SUM(AA73:AA77)</f>
        <v>44.96625</v>
      </c>
      <c r="AB72" s="314">
        <f aca="true" t="shared" si="64" ref="AB72:AS72">SUM(AB73:AB77)</f>
        <v>19.950000000000003</v>
      </c>
      <c r="AC72" s="314">
        <f t="shared" si="64"/>
        <v>20.347500000000004</v>
      </c>
      <c r="AD72" s="314">
        <f t="shared" si="64"/>
        <v>3.5</v>
      </c>
      <c r="AE72" s="314">
        <f t="shared" si="64"/>
        <v>0.8</v>
      </c>
      <c r="AF72" s="314">
        <f t="shared" si="64"/>
        <v>0</v>
      </c>
      <c r="AG72" s="314">
        <f t="shared" si="64"/>
        <v>10.375</v>
      </c>
      <c r="AH72" s="314">
        <f t="shared" si="64"/>
        <v>0</v>
      </c>
      <c r="AI72" s="314">
        <f t="shared" si="64"/>
        <v>0</v>
      </c>
      <c r="AJ72" s="314">
        <f t="shared" si="64"/>
        <v>0</v>
      </c>
      <c r="AK72" s="314">
        <f t="shared" si="64"/>
        <v>5.1875</v>
      </c>
      <c r="AL72" s="314">
        <f t="shared" si="64"/>
        <v>0</v>
      </c>
      <c r="AM72" s="314">
        <f t="shared" si="64"/>
        <v>0</v>
      </c>
      <c r="AN72" s="314">
        <f t="shared" si="64"/>
        <v>0</v>
      </c>
      <c r="AO72" s="314">
        <f t="shared" si="64"/>
        <v>0</v>
      </c>
      <c r="AP72" s="314">
        <f t="shared" si="64"/>
        <v>0</v>
      </c>
      <c r="AQ72" s="314">
        <f t="shared" si="64"/>
        <v>0.4850000000000001</v>
      </c>
      <c r="AR72" s="314">
        <f t="shared" si="64"/>
        <v>0</v>
      </c>
      <c r="AS72" s="437">
        <f t="shared" si="64"/>
        <v>4.66875</v>
      </c>
      <c r="AT72" s="340">
        <f>SUM(AT73:AT77)</f>
        <v>630204812.5</v>
      </c>
      <c r="AU72" s="6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ht="15.75">
      <c r="A73" s="287" t="s">
        <v>127</v>
      </c>
      <c r="B73" s="326" t="s">
        <v>126</v>
      </c>
      <c r="C73" s="416">
        <v>5</v>
      </c>
      <c r="D73" s="416">
        <v>5</v>
      </c>
      <c r="E73" s="270">
        <f aca="true" t="shared" si="65" ref="E73:X73">SUM(E74:E78)</f>
        <v>39.859750000000005</v>
      </c>
      <c r="F73" s="270">
        <f t="shared" si="65"/>
        <v>17.71</v>
      </c>
      <c r="G73" s="270">
        <f t="shared" si="65"/>
        <v>18.0075</v>
      </c>
      <c r="H73" s="270">
        <f t="shared" si="65"/>
        <v>3.5</v>
      </c>
      <c r="I73" s="270">
        <f t="shared" si="65"/>
        <v>0.7</v>
      </c>
      <c r="J73" s="270">
        <f t="shared" si="65"/>
        <v>0</v>
      </c>
      <c r="K73" s="270">
        <f t="shared" si="65"/>
        <v>9.205000000000002</v>
      </c>
      <c r="L73" s="270">
        <f t="shared" si="65"/>
        <v>0</v>
      </c>
      <c r="M73" s="270">
        <f t="shared" si="65"/>
        <v>0</v>
      </c>
      <c r="N73" s="270">
        <f t="shared" si="65"/>
        <v>0</v>
      </c>
      <c r="O73" s="270">
        <f t="shared" si="65"/>
        <v>4.602500000000001</v>
      </c>
      <c r="P73" s="270">
        <f t="shared" si="65"/>
        <v>0</v>
      </c>
      <c r="Q73" s="270">
        <f t="shared" si="65"/>
        <v>0</v>
      </c>
      <c r="R73" s="270">
        <f t="shared" si="65"/>
        <v>0</v>
      </c>
      <c r="S73" s="270">
        <f t="shared" si="65"/>
        <v>0</v>
      </c>
      <c r="T73" s="270">
        <f t="shared" si="65"/>
        <v>0</v>
      </c>
      <c r="U73" s="270">
        <f t="shared" si="65"/>
        <v>0</v>
      </c>
      <c r="V73" s="270">
        <f t="shared" si="65"/>
        <v>0</v>
      </c>
      <c r="W73" s="270">
        <f t="shared" si="65"/>
        <v>0</v>
      </c>
      <c r="X73" s="270">
        <f t="shared" si="65"/>
        <v>4.142250000000001</v>
      </c>
      <c r="Y73" s="270">
        <f>ROUNDUP(SUM(Y74:Y78),-3)</f>
        <v>712693000</v>
      </c>
      <c r="Z73" s="319"/>
      <c r="AA73" s="319">
        <f>AB73+AC73+AS73</f>
        <v>8.521</v>
      </c>
      <c r="AB73" s="319">
        <v>3.66</v>
      </c>
      <c r="AC73" s="319">
        <f>SUM(AD73:AR73)</f>
        <v>3.9699999999999998</v>
      </c>
      <c r="AD73" s="319">
        <v>0.7</v>
      </c>
      <c r="AE73" s="319">
        <v>0.3</v>
      </c>
      <c r="AF73" s="319"/>
      <c r="AG73" s="319">
        <f>0.5*(AB73+AE73)</f>
        <v>1.98</v>
      </c>
      <c r="AH73" s="319"/>
      <c r="AI73" s="319"/>
      <c r="AJ73" s="319"/>
      <c r="AK73" s="319">
        <f>0.25*(AB73+AE73)</f>
        <v>0.99</v>
      </c>
      <c r="AL73" s="319"/>
      <c r="AM73" s="319"/>
      <c r="AN73" s="319"/>
      <c r="AO73" s="319"/>
      <c r="AP73" s="319"/>
      <c r="AQ73" s="319"/>
      <c r="AR73" s="319"/>
      <c r="AS73" s="443">
        <f>(AB73+AE73)*22.5%</f>
        <v>0.891</v>
      </c>
      <c r="AT73" s="461">
        <f>AA73*1490000*2</f>
        <v>25392580.000000004</v>
      </c>
      <c r="AU73" s="16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</row>
    <row r="74" spans="1:75" ht="15.75">
      <c r="A74" s="273">
        <v>1</v>
      </c>
      <c r="B74" s="274" t="s">
        <v>22</v>
      </c>
      <c r="C74" s="417"/>
      <c r="D74" s="417"/>
      <c r="E74" s="275">
        <f>F74+G74+X74</f>
        <v>8.521</v>
      </c>
      <c r="F74" s="276">
        <v>3.66</v>
      </c>
      <c r="G74" s="275">
        <f>H74+I74+J74+K74+L74+M74+N74+O74+P74+Q74+R74+S74+T74+U74+W74</f>
        <v>3.9699999999999998</v>
      </c>
      <c r="H74" s="275">
        <v>0.7</v>
      </c>
      <c r="I74" s="275">
        <v>0.3</v>
      </c>
      <c r="J74" s="275"/>
      <c r="K74" s="275">
        <f>(F74+I74+J74+M74)*0.5</f>
        <v>1.98</v>
      </c>
      <c r="L74" s="275"/>
      <c r="M74" s="275"/>
      <c r="N74" s="275"/>
      <c r="O74" s="290">
        <f>(F74+I74)*0.25</f>
        <v>0.99</v>
      </c>
      <c r="P74" s="275"/>
      <c r="Q74" s="275"/>
      <c r="R74" s="275"/>
      <c r="S74" s="276"/>
      <c r="T74" s="275"/>
      <c r="U74" s="275"/>
      <c r="V74" s="275"/>
      <c r="W74" s="275"/>
      <c r="X74" s="275">
        <f>(F74+I74)*0.225</f>
        <v>0.891</v>
      </c>
      <c r="Y74" s="278">
        <f>E74*1490000*12</f>
        <v>152355480.00000003</v>
      </c>
      <c r="Z74" s="319"/>
      <c r="AA74" s="319">
        <f>AB74+AC74+AS74</f>
        <v>10.47625</v>
      </c>
      <c r="AB74" s="319">
        <v>4.65</v>
      </c>
      <c r="AC74" s="319">
        <f>SUM(AD74:AR74)</f>
        <v>4.7125</v>
      </c>
      <c r="AD74" s="319">
        <v>0.7</v>
      </c>
      <c r="AE74" s="319">
        <v>0.3</v>
      </c>
      <c r="AF74" s="319"/>
      <c r="AG74" s="319">
        <f>0.5*(AB74+AE74)</f>
        <v>2.475</v>
      </c>
      <c r="AH74" s="319"/>
      <c r="AI74" s="319"/>
      <c r="AJ74" s="319"/>
      <c r="AK74" s="319">
        <f>0.25*(AB74+AE74)</f>
        <v>1.2375</v>
      </c>
      <c r="AL74" s="319"/>
      <c r="AM74" s="319"/>
      <c r="AN74" s="319"/>
      <c r="AO74" s="319"/>
      <c r="AP74" s="319"/>
      <c r="AQ74" s="319"/>
      <c r="AR74" s="319"/>
      <c r="AS74" s="443">
        <f>(AB74+AE74)*22.5%</f>
        <v>1.11375</v>
      </c>
      <c r="AT74" s="461">
        <f>AA74*1490000*9</f>
        <v>140486512.5</v>
      </c>
      <c r="AU74" s="6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ht="15.75">
      <c r="A75" s="273">
        <v>2</v>
      </c>
      <c r="B75" s="274" t="s">
        <v>125</v>
      </c>
      <c r="C75" s="417"/>
      <c r="D75" s="417"/>
      <c r="E75" s="275">
        <f>F75+G75+X75</f>
        <v>8.97525</v>
      </c>
      <c r="F75" s="276">
        <v>3.99</v>
      </c>
      <c r="G75" s="275">
        <f>H75+I75+J75+K75+L75+M75+N75+O75+P75+Q75+R75+S75+T75+U75+W75</f>
        <v>4.0425</v>
      </c>
      <c r="H75" s="275">
        <v>0.7</v>
      </c>
      <c r="I75" s="275">
        <v>0.2</v>
      </c>
      <c r="J75" s="275"/>
      <c r="K75" s="275">
        <f>(F75+I75+J75+M75)*0.5</f>
        <v>2.095</v>
      </c>
      <c r="L75" s="275"/>
      <c r="M75" s="275"/>
      <c r="N75" s="275"/>
      <c r="O75" s="290">
        <f>(F75+I75)*0.25</f>
        <v>1.0475</v>
      </c>
      <c r="P75" s="275"/>
      <c r="Q75" s="275"/>
      <c r="R75" s="275"/>
      <c r="S75" s="276"/>
      <c r="T75" s="275"/>
      <c r="U75" s="275"/>
      <c r="V75" s="275"/>
      <c r="W75" s="275"/>
      <c r="X75" s="275">
        <f>(F75+I75)*0.225</f>
        <v>0.9427500000000001</v>
      </c>
      <c r="Y75" s="278">
        <f>E75*1490000*12</f>
        <v>160477470.00000003</v>
      </c>
      <c r="Z75" s="319"/>
      <c r="AA75" s="319">
        <f>AB75+AC75+AS75</f>
        <v>10.763750000000002</v>
      </c>
      <c r="AB75" s="319">
        <v>4.65</v>
      </c>
      <c r="AC75" s="319">
        <f>SUM(AD75:AR75)</f>
        <v>5.022500000000001</v>
      </c>
      <c r="AD75" s="319">
        <v>0.7</v>
      </c>
      <c r="AE75" s="319">
        <v>0.2</v>
      </c>
      <c r="AF75" s="319"/>
      <c r="AG75" s="319">
        <f>0.5*(AB75+AE75)</f>
        <v>2.4250000000000003</v>
      </c>
      <c r="AH75" s="319"/>
      <c r="AI75" s="319"/>
      <c r="AJ75" s="319"/>
      <c r="AK75" s="319">
        <f>0.25*(AB75+AE75)</f>
        <v>1.2125000000000001</v>
      </c>
      <c r="AL75" s="319"/>
      <c r="AM75" s="319"/>
      <c r="AN75" s="319"/>
      <c r="AO75" s="319"/>
      <c r="AP75" s="319"/>
      <c r="AQ75" s="337">
        <f>(AB75+AE75)*10%</f>
        <v>0.4850000000000001</v>
      </c>
      <c r="AR75" s="319"/>
      <c r="AS75" s="443">
        <f>(AB75+AE75)*22.5%</f>
        <v>1.09125</v>
      </c>
      <c r="AT75" s="461">
        <f>AA75*1490000*12</f>
        <v>192455850.00000003</v>
      </c>
      <c r="AU75" s="6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ht="34.5" customHeight="1">
      <c r="A76" s="273">
        <v>3</v>
      </c>
      <c r="B76" s="274" t="s">
        <v>124</v>
      </c>
      <c r="C76" s="417"/>
      <c r="D76" s="417"/>
      <c r="E76" s="275">
        <f>F76+G76+X76</f>
        <v>9.626999999999999</v>
      </c>
      <c r="F76" s="276">
        <v>4.32</v>
      </c>
      <c r="G76" s="275">
        <f>H76+I76+J76+K76+L76+M76+N76+O76+P76+Q76+R76+S76+T76+U76+W76</f>
        <v>4.29</v>
      </c>
      <c r="H76" s="275">
        <v>0.7</v>
      </c>
      <c r="I76" s="275">
        <v>0.2</v>
      </c>
      <c r="J76" s="275"/>
      <c r="K76" s="275">
        <f>(F76+I76+J76+M76)*0.5</f>
        <v>2.2600000000000002</v>
      </c>
      <c r="L76" s="275"/>
      <c r="M76" s="275"/>
      <c r="N76" s="275"/>
      <c r="O76" s="290">
        <f>(F76+I76)*0.25</f>
        <v>1.1300000000000001</v>
      </c>
      <c r="P76" s="275"/>
      <c r="Q76" s="275"/>
      <c r="R76" s="275"/>
      <c r="S76" s="276"/>
      <c r="T76" s="275"/>
      <c r="U76" s="275"/>
      <c r="V76" s="275"/>
      <c r="W76" s="275"/>
      <c r="X76" s="275">
        <f>(F76+I76)*0.225</f>
        <v>1.0170000000000001</v>
      </c>
      <c r="Y76" s="278">
        <f>E76*1490000*12</f>
        <v>172130759.99999997</v>
      </c>
      <c r="Z76" s="319"/>
      <c r="AA76" s="319">
        <f>AB76+AC76+AS76</f>
        <v>9.232000000000001</v>
      </c>
      <c r="AB76" s="319">
        <v>4.32</v>
      </c>
      <c r="AC76" s="319">
        <f>SUM(AD76:AR76)</f>
        <v>3.9400000000000004</v>
      </c>
      <c r="AD76" s="319">
        <v>0.7</v>
      </c>
      <c r="AE76" s="319"/>
      <c r="AF76" s="319"/>
      <c r="AG76" s="319">
        <f>0.5*(AB76+AE76)</f>
        <v>2.16</v>
      </c>
      <c r="AH76" s="319"/>
      <c r="AI76" s="319"/>
      <c r="AJ76" s="319"/>
      <c r="AK76" s="319">
        <f>0.25*(AB76+AE76)</f>
        <v>1.08</v>
      </c>
      <c r="AL76" s="319"/>
      <c r="AM76" s="319"/>
      <c r="AN76" s="319"/>
      <c r="AO76" s="319"/>
      <c r="AP76" s="319"/>
      <c r="AQ76" s="319"/>
      <c r="AR76" s="319"/>
      <c r="AS76" s="443">
        <f>(AB76+AE76)*22.5%</f>
        <v>0.9720000000000001</v>
      </c>
      <c r="AT76" s="461">
        <f>AA76*1490000*12</f>
        <v>165068160.00000003</v>
      </c>
      <c r="AU76" s="6"/>
      <c r="AV76" s="3"/>
      <c r="AW76" s="24">
        <f>Y76-'Chi tiết'!W96-'Chi tiết'!W97</f>
        <v>60438869.999999985</v>
      </c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ht="15.75">
      <c r="A77" s="273">
        <v>4</v>
      </c>
      <c r="B77" s="338" t="s">
        <v>123</v>
      </c>
      <c r="C77" s="417"/>
      <c r="D77" s="417"/>
      <c r="E77" s="275">
        <f>F77+G77+X77</f>
        <v>5.4597500000000005</v>
      </c>
      <c r="F77" s="276">
        <v>2.41</v>
      </c>
      <c r="G77" s="275">
        <f>H77+I77+J77+K77+L77+M77+N77+O77+P77+Q77+R77+S77+T77+U77+W77</f>
        <v>2.5075000000000003</v>
      </c>
      <c r="H77" s="275">
        <v>0.7</v>
      </c>
      <c r="I77" s="275"/>
      <c r="J77" s="275"/>
      <c r="K77" s="275">
        <f>(F77+I77+J77+M77)*0.5</f>
        <v>1.205</v>
      </c>
      <c r="L77" s="275"/>
      <c r="M77" s="275"/>
      <c r="N77" s="275"/>
      <c r="O77" s="290">
        <f>(F77+I77)*0.25</f>
        <v>0.6025</v>
      </c>
      <c r="P77" s="275"/>
      <c r="Q77" s="275"/>
      <c r="R77" s="275"/>
      <c r="S77" s="276"/>
      <c r="T77" s="275"/>
      <c r="U77" s="275"/>
      <c r="V77" s="275"/>
      <c r="W77" s="275"/>
      <c r="X77" s="275">
        <f>(F77+I77)*0.225</f>
        <v>0.54225</v>
      </c>
      <c r="Y77" s="278">
        <f>E77*1490000*12</f>
        <v>97620330.00000001</v>
      </c>
      <c r="Z77" s="319"/>
      <c r="AA77" s="319">
        <f>AB77+AC77+AS77</f>
        <v>5.97325</v>
      </c>
      <c r="AB77" s="319">
        <v>2.67</v>
      </c>
      <c r="AC77" s="319">
        <f>SUM(AD77:AR77)</f>
        <v>2.7025</v>
      </c>
      <c r="AD77" s="319">
        <v>0.7</v>
      </c>
      <c r="AE77" s="319"/>
      <c r="AF77" s="319"/>
      <c r="AG77" s="319">
        <f>0.5*(AB77+AE77)</f>
        <v>1.335</v>
      </c>
      <c r="AH77" s="319"/>
      <c r="AI77" s="319"/>
      <c r="AJ77" s="319"/>
      <c r="AK77" s="319">
        <f>0.25*(AB77+AE77)</f>
        <v>0.6675</v>
      </c>
      <c r="AL77" s="319"/>
      <c r="AM77" s="319"/>
      <c r="AN77" s="319"/>
      <c r="AO77" s="319"/>
      <c r="AP77" s="319"/>
      <c r="AQ77" s="319"/>
      <c r="AR77" s="319"/>
      <c r="AS77" s="443">
        <f>(AB77+AE77)*22.5%</f>
        <v>0.60075</v>
      </c>
      <c r="AT77" s="461">
        <f>AA77*1490000*12</f>
        <v>106801710</v>
      </c>
      <c r="AU77" s="6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ht="15.75">
      <c r="A78" s="273">
        <v>5</v>
      </c>
      <c r="B78" s="338" t="s">
        <v>122</v>
      </c>
      <c r="C78" s="417"/>
      <c r="D78" s="417"/>
      <c r="E78" s="275">
        <f>F78+G78+X78</f>
        <v>7.27675</v>
      </c>
      <c r="F78" s="276">
        <v>3.33</v>
      </c>
      <c r="G78" s="275">
        <f>H78+I78+J78+K78+L78+M78+N78+O78+P78+Q78+R78+S78+T78+U78+W78</f>
        <v>3.1975000000000002</v>
      </c>
      <c r="H78" s="275">
        <v>0.7</v>
      </c>
      <c r="I78" s="275"/>
      <c r="J78" s="275"/>
      <c r="K78" s="275">
        <f>(F78+I78+J78+M78)*0.5</f>
        <v>1.665</v>
      </c>
      <c r="L78" s="275"/>
      <c r="M78" s="275"/>
      <c r="N78" s="275"/>
      <c r="O78" s="290">
        <f>(F78+I78)*0.25</f>
        <v>0.8325</v>
      </c>
      <c r="P78" s="275"/>
      <c r="Q78" s="275"/>
      <c r="R78" s="275"/>
      <c r="S78" s="276"/>
      <c r="T78" s="275"/>
      <c r="U78" s="275"/>
      <c r="V78" s="275"/>
      <c r="W78" s="275"/>
      <c r="X78" s="275">
        <f>(F78+I78)*0.225</f>
        <v>0.7492500000000001</v>
      </c>
      <c r="Y78" s="278">
        <f>E78*1490000*12</f>
        <v>130108290</v>
      </c>
      <c r="Z78" s="314"/>
      <c r="AA78" s="314">
        <f>SUM(AA79:AA82)</f>
        <v>23.729</v>
      </c>
      <c r="AB78" s="314">
        <f aca="true" t="shared" si="66" ref="AB78:AS78">SUM(AB79:AB82)</f>
        <v>11.64</v>
      </c>
      <c r="AC78" s="314">
        <f t="shared" si="66"/>
        <v>9.425</v>
      </c>
      <c r="AD78" s="314">
        <f t="shared" si="66"/>
        <v>2.0999999999999996</v>
      </c>
      <c r="AE78" s="314">
        <f t="shared" si="66"/>
        <v>0.2</v>
      </c>
      <c r="AF78" s="314">
        <f t="shared" si="66"/>
        <v>0</v>
      </c>
      <c r="AG78" s="314">
        <f t="shared" si="66"/>
        <v>4.75</v>
      </c>
      <c r="AH78" s="314">
        <f t="shared" si="66"/>
        <v>0</v>
      </c>
      <c r="AI78" s="314">
        <f t="shared" si="66"/>
        <v>0</v>
      </c>
      <c r="AJ78" s="314">
        <f t="shared" si="66"/>
        <v>0</v>
      </c>
      <c r="AK78" s="314">
        <f t="shared" si="66"/>
        <v>2.375</v>
      </c>
      <c r="AL78" s="314">
        <f t="shared" si="66"/>
        <v>0</v>
      </c>
      <c r="AM78" s="314">
        <f t="shared" si="66"/>
        <v>0</v>
      </c>
      <c r="AN78" s="314">
        <f t="shared" si="66"/>
        <v>0</v>
      </c>
      <c r="AO78" s="314">
        <f t="shared" si="66"/>
        <v>0</v>
      </c>
      <c r="AP78" s="314">
        <f t="shared" si="66"/>
        <v>0</v>
      </c>
      <c r="AQ78" s="314">
        <f t="shared" si="66"/>
        <v>0</v>
      </c>
      <c r="AR78" s="314">
        <f t="shared" si="66"/>
        <v>0</v>
      </c>
      <c r="AS78" s="437">
        <f t="shared" si="66"/>
        <v>2.664</v>
      </c>
      <c r="AT78" s="340">
        <f>SUM(AT79:AT82)</f>
        <v>424274520</v>
      </c>
      <c r="AU78" s="6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ht="31.5">
      <c r="A79" s="287" t="s">
        <v>121</v>
      </c>
      <c r="B79" s="267" t="s">
        <v>120</v>
      </c>
      <c r="C79" s="416">
        <v>4</v>
      </c>
      <c r="D79" s="416">
        <v>3</v>
      </c>
      <c r="E79" s="270">
        <f aca="true" t="shared" si="67" ref="E79:X79">SUM(E80:E83)</f>
        <v>23.729</v>
      </c>
      <c r="F79" s="270">
        <f t="shared" si="67"/>
        <v>11.64</v>
      </c>
      <c r="G79" s="270">
        <f t="shared" si="67"/>
        <v>9.425</v>
      </c>
      <c r="H79" s="270">
        <f t="shared" si="67"/>
        <v>2.0999999999999996</v>
      </c>
      <c r="I79" s="270">
        <f t="shared" si="67"/>
        <v>0.2</v>
      </c>
      <c r="J79" s="270">
        <f t="shared" si="67"/>
        <v>0</v>
      </c>
      <c r="K79" s="270">
        <f t="shared" si="67"/>
        <v>4.75</v>
      </c>
      <c r="L79" s="270">
        <f t="shared" si="67"/>
        <v>0</v>
      </c>
      <c r="M79" s="270">
        <f t="shared" si="67"/>
        <v>0</v>
      </c>
      <c r="N79" s="270">
        <f t="shared" si="67"/>
        <v>0</v>
      </c>
      <c r="O79" s="270">
        <f t="shared" si="67"/>
        <v>2.375</v>
      </c>
      <c r="P79" s="270">
        <f t="shared" si="67"/>
        <v>0</v>
      </c>
      <c r="Q79" s="270">
        <f t="shared" si="67"/>
        <v>0</v>
      </c>
      <c r="R79" s="270">
        <f t="shared" si="67"/>
        <v>0</v>
      </c>
      <c r="S79" s="270">
        <f t="shared" si="67"/>
        <v>0</v>
      </c>
      <c r="T79" s="270">
        <f t="shared" si="67"/>
        <v>0</v>
      </c>
      <c r="U79" s="270">
        <f t="shared" si="67"/>
        <v>0</v>
      </c>
      <c r="V79" s="270">
        <f t="shared" si="67"/>
        <v>0</v>
      </c>
      <c r="W79" s="270">
        <f t="shared" si="67"/>
        <v>0</v>
      </c>
      <c r="X79" s="270">
        <f t="shared" si="67"/>
        <v>2.664</v>
      </c>
      <c r="Y79" s="270">
        <f>ROUNDUP(SUM(Y80:Y83),0)</f>
        <v>424274520</v>
      </c>
      <c r="Z79" s="319"/>
      <c r="AA79" s="319">
        <f>AB79+AC79+AS79</f>
        <v>8.916</v>
      </c>
      <c r="AB79" s="319">
        <v>3.96</v>
      </c>
      <c r="AC79" s="319">
        <f>SUM(AD79:AR79)</f>
        <v>4.02</v>
      </c>
      <c r="AD79" s="319">
        <v>0.7</v>
      </c>
      <c r="AE79" s="319">
        <v>0.2</v>
      </c>
      <c r="AF79" s="319"/>
      <c r="AG79" s="319">
        <f>0.5*(AB79+AE79)</f>
        <v>2.08</v>
      </c>
      <c r="AH79" s="319"/>
      <c r="AI79" s="319"/>
      <c r="AJ79" s="319"/>
      <c r="AK79" s="319">
        <f>0.25*(AB79+AE79)</f>
        <v>1.04</v>
      </c>
      <c r="AL79" s="319"/>
      <c r="AM79" s="319"/>
      <c r="AN79" s="319"/>
      <c r="AO79" s="319"/>
      <c r="AP79" s="319"/>
      <c r="AQ79" s="319"/>
      <c r="AR79" s="319"/>
      <c r="AS79" s="443">
        <f>(AB79+AE79)*22.5%</f>
        <v>0.936</v>
      </c>
      <c r="AT79" s="462">
        <f>AA79*1490000*12</f>
        <v>159418080</v>
      </c>
      <c r="AU79" s="16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</row>
    <row r="80" spans="1:75" ht="15.75">
      <c r="A80" s="273">
        <v>1</v>
      </c>
      <c r="B80" s="338" t="s">
        <v>55</v>
      </c>
      <c r="C80" s="417"/>
      <c r="D80" s="417"/>
      <c r="E80" s="275">
        <f>F80+G80+X80</f>
        <v>8.916</v>
      </c>
      <c r="F80" s="276">
        <v>3.96</v>
      </c>
      <c r="G80" s="275">
        <f>H80+I80+J80+K80+L80+M80+N80+O80+P80+Q80+R80+S80+T80+U80+W80</f>
        <v>4.02</v>
      </c>
      <c r="H80" s="275">
        <v>0.7</v>
      </c>
      <c r="I80" s="275">
        <v>0.2</v>
      </c>
      <c r="J80" s="275"/>
      <c r="K80" s="275">
        <f>(F80+I80)*50%</f>
        <v>2.08</v>
      </c>
      <c r="L80" s="275"/>
      <c r="M80" s="275"/>
      <c r="N80" s="275"/>
      <c r="O80" s="290">
        <f>(F80+I80)*25%</f>
        <v>1.04</v>
      </c>
      <c r="P80" s="275"/>
      <c r="Q80" s="275"/>
      <c r="R80" s="275"/>
      <c r="S80" s="276"/>
      <c r="T80" s="275"/>
      <c r="U80" s="275"/>
      <c r="V80" s="275"/>
      <c r="W80" s="275"/>
      <c r="X80" s="275">
        <f>(F80+I80)*22.5%</f>
        <v>0.936</v>
      </c>
      <c r="Y80" s="278">
        <f>E80*1490000*12</f>
        <v>159418080</v>
      </c>
      <c r="Z80" s="319"/>
      <c r="AA80" s="319">
        <f>AB80+AC80+AS80</f>
        <v>6.625</v>
      </c>
      <c r="AB80" s="319">
        <v>3</v>
      </c>
      <c r="AC80" s="319">
        <f>SUM(AD80:AR80)</f>
        <v>2.95</v>
      </c>
      <c r="AD80" s="319">
        <v>0.7</v>
      </c>
      <c r="AE80" s="319"/>
      <c r="AF80" s="319"/>
      <c r="AG80" s="319">
        <f>0.5*(AB80+AE80)</f>
        <v>1.5</v>
      </c>
      <c r="AH80" s="319"/>
      <c r="AI80" s="319"/>
      <c r="AJ80" s="319"/>
      <c r="AK80" s="319">
        <f>0.25*(AB80+AE80)</f>
        <v>0.75</v>
      </c>
      <c r="AL80" s="319"/>
      <c r="AM80" s="319"/>
      <c r="AN80" s="319"/>
      <c r="AO80" s="319"/>
      <c r="AP80" s="319"/>
      <c r="AQ80" s="319"/>
      <c r="AR80" s="319"/>
      <c r="AS80" s="443">
        <f>(AB80+AE80)*22.5%</f>
        <v>0.675</v>
      </c>
      <c r="AT80" s="462">
        <f>AA80*1490000*12</f>
        <v>118455000</v>
      </c>
      <c r="AU80" s="6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ht="15.75">
      <c r="A81" s="273">
        <v>2</v>
      </c>
      <c r="B81" s="338" t="s">
        <v>119</v>
      </c>
      <c r="C81" s="417"/>
      <c r="D81" s="417"/>
      <c r="E81" s="275">
        <f>F81+G81+X81</f>
        <v>2.8665</v>
      </c>
      <c r="F81" s="276">
        <v>2.34</v>
      </c>
      <c r="G81" s="275">
        <f>H81+I81+J81+K81+L81+M81+N81+O81+P81+Q81+R81+S81+T81+U81+W81</f>
        <v>0</v>
      </c>
      <c r="H81" s="275"/>
      <c r="I81" s="275"/>
      <c r="J81" s="275"/>
      <c r="K81" s="275"/>
      <c r="L81" s="275"/>
      <c r="M81" s="275"/>
      <c r="N81" s="275"/>
      <c r="O81" s="290"/>
      <c r="P81" s="275"/>
      <c r="Q81" s="275"/>
      <c r="R81" s="275"/>
      <c r="S81" s="276"/>
      <c r="T81" s="275"/>
      <c r="U81" s="275"/>
      <c r="V81" s="275"/>
      <c r="W81" s="275"/>
      <c r="X81" s="275">
        <f>(F81+I81)*22.5%</f>
        <v>0.5265</v>
      </c>
      <c r="Y81" s="278">
        <f>E81*1490000*12</f>
        <v>51253020</v>
      </c>
      <c r="Z81" s="319"/>
      <c r="AA81" s="319">
        <f>AB81+AC81+AS81</f>
        <v>5.3215</v>
      </c>
      <c r="AB81" s="319">
        <v>2.34</v>
      </c>
      <c r="AC81" s="319">
        <f>SUM(AD81:AR81)</f>
        <v>2.455</v>
      </c>
      <c r="AD81" s="319">
        <v>0.7</v>
      </c>
      <c r="AE81" s="319"/>
      <c r="AF81" s="319"/>
      <c r="AG81" s="319">
        <f>0.5*(AB81+AE81)</f>
        <v>1.17</v>
      </c>
      <c r="AH81" s="319"/>
      <c r="AI81" s="319"/>
      <c r="AJ81" s="319"/>
      <c r="AK81" s="319">
        <f>0.25*(AB81+AE81)</f>
        <v>0.585</v>
      </c>
      <c r="AL81" s="319"/>
      <c r="AM81" s="319"/>
      <c r="AN81" s="319"/>
      <c r="AO81" s="319"/>
      <c r="AP81" s="319"/>
      <c r="AQ81" s="319"/>
      <c r="AR81" s="319"/>
      <c r="AS81" s="443">
        <f>(AB81+AE81)*22.5%</f>
        <v>0.5265</v>
      </c>
      <c r="AT81" s="462">
        <f>AA81*1490000*12</f>
        <v>95148420.00000001</v>
      </c>
      <c r="AU81" s="6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ht="15.75">
      <c r="A82" s="273">
        <v>3</v>
      </c>
      <c r="B82" s="338" t="s">
        <v>118</v>
      </c>
      <c r="C82" s="417"/>
      <c r="D82" s="417"/>
      <c r="E82" s="275">
        <f>F82+G82+X82</f>
        <v>6.625</v>
      </c>
      <c r="F82" s="276">
        <v>3</v>
      </c>
      <c r="G82" s="275">
        <f>H82+I82+J82+K82+L82+M82+N82+O82+P82+Q82+R82+S82+T82+U82+W82</f>
        <v>2.95</v>
      </c>
      <c r="H82" s="275">
        <v>0.7</v>
      </c>
      <c r="I82" s="275"/>
      <c r="J82" s="275"/>
      <c r="K82" s="275">
        <f>(F82+I82)*50%</f>
        <v>1.5</v>
      </c>
      <c r="L82" s="275"/>
      <c r="M82" s="275"/>
      <c r="N82" s="275"/>
      <c r="O82" s="290">
        <f>(F82+I82)*25%</f>
        <v>0.75</v>
      </c>
      <c r="P82" s="275"/>
      <c r="Q82" s="275"/>
      <c r="R82" s="275"/>
      <c r="S82" s="276"/>
      <c r="T82" s="275"/>
      <c r="U82" s="275"/>
      <c r="V82" s="275"/>
      <c r="W82" s="275"/>
      <c r="X82" s="275">
        <f>(F82+I82)*22.5%</f>
        <v>0.675</v>
      </c>
      <c r="Y82" s="278">
        <f>E82*1490000*12</f>
        <v>118455000</v>
      </c>
      <c r="Z82" s="319"/>
      <c r="AA82" s="339">
        <f>AB82+AS82</f>
        <v>2.8665</v>
      </c>
      <c r="AB82" s="319">
        <v>2.34</v>
      </c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443">
        <f>(AB82+AE82)*22.5%</f>
        <v>0.5265</v>
      </c>
      <c r="AT82" s="462">
        <f>AA82*1490000*12</f>
        <v>51253020</v>
      </c>
      <c r="AU82" s="6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ht="15.75">
      <c r="A83" s="273">
        <v>4</v>
      </c>
      <c r="B83" s="338" t="s">
        <v>117</v>
      </c>
      <c r="C83" s="417"/>
      <c r="D83" s="417"/>
      <c r="E83" s="275">
        <f>F83+G83+X83</f>
        <v>5.3215</v>
      </c>
      <c r="F83" s="276">
        <v>2.34</v>
      </c>
      <c r="G83" s="275">
        <f>H83+I83+J83+K83+L83+M83+N83+O83+P83+Q83+R83+S83+T83+U83+W83</f>
        <v>2.455</v>
      </c>
      <c r="H83" s="275">
        <v>0.7</v>
      </c>
      <c r="I83" s="275"/>
      <c r="J83" s="275"/>
      <c r="K83" s="275">
        <f>(F83+I83)*50%</f>
        <v>1.17</v>
      </c>
      <c r="L83" s="275"/>
      <c r="M83" s="275"/>
      <c r="N83" s="275"/>
      <c r="O83" s="290">
        <f>(F83+I83)*25%</f>
        <v>0.585</v>
      </c>
      <c r="P83" s="275"/>
      <c r="Q83" s="275"/>
      <c r="R83" s="275"/>
      <c r="S83" s="276"/>
      <c r="T83" s="275"/>
      <c r="U83" s="275"/>
      <c r="V83" s="275"/>
      <c r="W83" s="275"/>
      <c r="X83" s="275">
        <f>(F83+I83)*22.5%</f>
        <v>0.5265</v>
      </c>
      <c r="Y83" s="278">
        <f>E83*1490000*12</f>
        <v>95148420.00000001</v>
      </c>
      <c r="Z83" s="314"/>
      <c r="AA83" s="314">
        <f>SUM(AA84:AA86)</f>
        <v>15.8005</v>
      </c>
      <c r="AB83" s="314">
        <f aca="true" t="shared" si="68" ref="AB83:AT83">SUM(AB84:AB86)</f>
        <v>7.68</v>
      </c>
      <c r="AC83" s="314">
        <f t="shared" si="68"/>
        <v>6.28</v>
      </c>
      <c r="AD83" s="314">
        <f t="shared" si="68"/>
        <v>1.4</v>
      </c>
      <c r="AE83" s="314">
        <f t="shared" si="68"/>
        <v>0.5</v>
      </c>
      <c r="AF83" s="314">
        <f t="shared" si="68"/>
        <v>0</v>
      </c>
      <c r="AG83" s="314">
        <f t="shared" si="68"/>
        <v>2.92</v>
      </c>
      <c r="AH83" s="314">
        <f t="shared" si="68"/>
        <v>0</v>
      </c>
      <c r="AI83" s="314">
        <f t="shared" si="68"/>
        <v>0</v>
      </c>
      <c r="AJ83" s="314">
        <f t="shared" si="68"/>
        <v>0</v>
      </c>
      <c r="AK83" s="314">
        <f t="shared" si="68"/>
        <v>1.46</v>
      </c>
      <c r="AL83" s="314">
        <f t="shared" si="68"/>
        <v>0</v>
      </c>
      <c r="AM83" s="314">
        <f t="shared" si="68"/>
        <v>0</v>
      </c>
      <c r="AN83" s="314">
        <f t="shared" si="68"/>
        <v>0</v>
      </c>
      <c r="AO83" s="314">
        <f t="shared" si="68"/>
        <v>0</v>
      </c>
      <c r="AP83" s="314">
        <f t="shared" si="68"/>
        <v>0</v>
      </c>
      <c r="AQ83" s="314">
        <f t="shared" si="68"/>
        <v>0</v>
      </c>
      <c r="AR83" s="314">
        <f t="shared" si="68"/>
        <v>0</v>
      </c>
      <c r="AS83" s="437">
        <f t="shared" si="68"/>
        <v>1.8405</v>
      </c>
      <c r="AT83" s="340">
        <f t="shared" si="68"/>
        <v>168060080</v>
      </c>
      <c r="AU83" s="6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ht="15.75">
      <c r="A84" s="287" t="s">
        <v>116</v>
      </c>
      <c r="B84" s="267" t="s">
        <v>115</v>
      </c>
      <c r="C84" s="416">
        <v>2</v>
      </c>
      <c r="D84" s="416">
        <v>1</v>
      </c>
      <c r="E84" s="270">
        <f aca="true" t="shared" si="69" ref="E84:X84">SUM(E85:E86)</f>
        <v>9.23475</v>
      </c>
      <c r="F84" s="270">
        <f t="shared" si="69"/>
        <v>5.01</v>
      </c>
      <c r="G84" s="270">
        <f t="shared" si="69"/>
        <v>3.0525</v>
      </c>
      <c r="H84" s="270">
        <f t="shared" si="69"/>
        <v>0.7</v>
      </c>
      <c r="I84" s="270">
        <f t="shared" si="69"/>
        <v>0.2</v>
      </c>
      <c r="J84" s="270">
        <f t="shared" si="69"/>
        <v>0</v>
      </c>
      <c r="K84" s="270">
        <f t="shared" si="69"/>
        <v>1.435</v>
      </c>
      <c r="L84" s="270">
        <f t="shared" si="69"/>
        <v>0</v>
      </c>
      <c r="M84" s="270">
        <f t="shared" si="69"/>
        <v>0</v>
      </c>
      <c r="N84" s="270">
        <f t="shared" si="69"/>
        <v>0</v>
      </c>
      <c r="O84" s="270">
        <f t="shared" si="69"/>
        <v>0.7175</v>
      </c>
      <c r="P84" s="270">
        <f t="shared" si="69"/>
        <v>0</v>
      </c>
      <c r="Q84" s="270">
        <f t="shared" si="69"/>
        <v>0</v>
      </c>
      <c r="R84" s="270">
        <f t="shared" si="69"/>
        <v>0</v>
      </c>
      <c r="S84" s="270">
        <f t="shared" si="69"/>
        <v>0</v>
      </c>
      <c r="T84" s="270">
        <f t="shared" si="69"/>
        <v>0</v>
      </c>
      <c r="U84" s="270">
        <f t="shared" si="69"/>
        <v>0</v>
      </c>
      <c r="V84" s="270">
        <f t="shared" si="69"/>
        <v>0</v>
      </c>
      <c r="W84" s="270">
        <f t="shared" si="69"/>
        <v>0</v>
      </c>
      <c r="X84" s="270">
        <f t="shared" si="69"/>
        <v>1.17225</v>
      </c>
      <c r="Y84" s="270">
        <f>ROUNDUP(SUM(Y85:Y86),-3)</f>
        <v>165118000</v>
      </c>
      <c r="Z84" s="319"/>
      <c r="AA84" s="319">
        <f>AB84+AC84+AS84</f>
        <v>6.36825</v>
      </c>
      <c r="AB84" s="319">
        <v>2.67</v>
      </c>
      <c r="AC84" s="319">
        <f>SUM(AD84:AR84)</f>
        <v>3.0525</v>
      </c>
      <c r="AD84" s="319">
        <v>0.7</v>
      </c>
      <c r="AE84" s="319">
        <v>0.2</v>
      </c>
      <c r="AF84" s="319"/>
      <c r="AG84" s="319">
        <f>0.5*(AB84+AE84)</f>
        <v>1.435</v>
      </c>
      <c r="AH84" s="319"/>
      <c r="AI84" s="319"/>
      <c r="AJ84" s="319"/>
      <c r="AK84" s="319">
        <f>0.25*(AB84+AE84)</f>
        <v>0.7175</v>
      </c>
      <c r="AL84" s="319"/>
      <c r="AM84" s="319"/>
      <c r="AN84" s="319"/>
      <c r="AO84" s="319"/>
      <c r="AP84" s="319"/>
      <c r="AQ84" s="319"/>
      <c r="AR84" s="319"/>
      <c r="AS84" s="443">
        <f>(AB84+AE84)*22.5%</f>
        <v>0.64575</v>
      </c>
      <c r="AT84" s="461">
        <f>AA84*1490000*2</f>
        <v>18977385</v>
      </c>
      <c r="AU84" s="16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</row>
    <row r="85" spans="1:75" ht="15.75">
      <c r="A85" s="273"/>
      <c r="B85" s="338" t="s">
        <v>114</v>
      </c>
      <c r="C85" s="417"/>
      <c r="D85" s="417"/>
      <c r="E85" s="275">
        <f>F85+G85+X85</f>
        <v>6.36825</v>
      </c>
      <c r="F85" s="275">
        <v>2.67</v>
      </c>
      <c r="G85" s="275">
        <f>SUM(H85:W85)</f>
        <v>3.0525</v>
      </c>
      <c r="H85" s="275">
        <v>0.7</v>
      </c>
      <c r="I85" s="275">
        <v>0.2</v>
      </c>
      <c r="J85" s="275"/>
      <c r="K85" s="275">
        <f>(F85+I85)*50%</f>
        <v>1.435</v>
      </c>
      <c r="L85" s="275"/>
      <c r="M85" s="275"/>
      <c r="N85" s="275"/>
      <c r="O85" s="275">
        <f>(F85+I85)*25%</f>
        <v>0.7175</v>
      </c>
      <c r="P85" s="275"/>
      <c r="Q85" s="275"/>
      <c r="R85" s="275"/>
      <c r="S85" s="275"/>
      <c r="T85" s="275"/>
      <c r="U85" s="275"/>
      <c r="V85" s="275"/>
      <c r="W85" s="275"/>
      <c r="X85" s="275">
        <f>(F85+I85)*22.5%</f>
        <v>0.64575</v>
      </c>
      <c r="Y85" s="275">
        <f>E85*1490000*12</f>
        <v>113864310</v>
      </c>
      <c r="Z85" s="319"/>
      <c r="AA85" s="319">
        <f>AB85+AC85+AS85</f>
        <v>6.5657499999999995</v>
      </c>
      <c r="AB85" s="319">
        <v>2.67</v>
      </c>
      <c r="AC85" s="319">
        <f>SUM(AD85:AR85)</f>
        <v>3.2275</v>
      </c>
      <c r="AD85" s="319">
        <v>0.7</v>
      </c>
      <c r="AE85" s="319">
        <v>0.3</v>
      </c>
      <c r="AF85" s="319"/>
      <c r="AG85" s="319">
        <f>0.5*(AB85+AE85)</f>
        <v>1.4849999999999999</v>
      </c>
      <c r="AH85" s="319"/>
      <c r="AI85" s="319"/>
      <c r="AJ85" s="319"/>
      <c r="AK85" s="319">
        <f>0.25*(AB85+AE85)</f>
        <v>0.7424999999999999</v>
      </c>
      <c r="AL85" s="319"/>
      <c r="AM85" s="319"/>
      <c r="AN85" s="319"/>
      <c r="AO85" s="319"/>
      <c r="AP85" s="319"/>
      <c r="AQ85" s="319"/>
      <c r="AR85" s="319"/>
      <c r="AS85" s="443">
        <f>(AB85+AE85)*22.5%</f>
        <v>0.66825</v>
      </c>
      <c r="AT85" s="461">
        <f>AA85*1490000*10</f>
        <v>97829675</v>
      </c>
      <c r="AU85" s="6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ht="15.75">
      <c r="A86" s="287">
        <v>3</v>
      </c>
      <c r="B86" s="322" t="s">
        <v>70</v>
      </c>
      <c r="C86" s="417"/>
      <c r="D86" s="417"/>
      <c r="E86" s="290">
        <f>F86+G86+X86</f>
        <v>2.8665</v>
      </c>
      <c r="F86" s="276">
        <v>2.34</v>
      </c>
      <c r="G86" s="275">
        <f>SUM(H86:W86)</f>
        <v>0</v>
      </c>
      <c r="H86" s="275"/>
      <c r="I86" s="275"/>
      <c r="J86" s="275"/>
      <c r="K86" s="275"/>
      <c r="L86" s="275"/>
      <c r="M86" s="275"/>
      <c r="N86" s="275"/>
      <c r="O86" s="290"/>
      <c r="P86" s="275"/>
      <c r="Q86" s="275"/>
      <c r="R86" s="275"/>
      <c r="S86" s="276"/>
      <c r="T86" s="275"/>
      <c r="U86" s="275"/>
      <c r="V86" s="275"/>
      <c r="W86" s="290"/>
      <c r="X86" s="275">
        <f>(F86+I86)*0.225</f>
        <v>0.5265</v>
      </c>
      <c r="Y86" s="278">
        <f>E86*1490000*12</f>
        <v>51253020</v>
      </c>
      <c r="Z86" s="319"/>
      <c r="AA86" s="319">
        <f>AB86+AC86+AS86</f>
        <v>2.8665</v>
      </c>
      <c r="AB86" s="319">
        <v>2.34</v>
      </c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443">
        <f>(AB86+AE86)*22.5%</f>
        <v>0.5265</v>
      </c>
      <c r="AT86" s="461">
        <f>AA86*1490000*12</f>
        <v>51253020</v>
      </c>
      <c r="AU86" s="6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ht="15.75">
      <c r="A87" s="287" t="s">
        <v>113</v>
      </c>
      <c r="B87" s="288" t="s">
        <v>112</v>
      </c>
      <c r="C87" s="416">
        <f aca="true" t="shared" si="70" ref="C87:U87">C88+C124</f>
        <v>48</v>
      </c>
      <c r="D87" s="416">
        <f t="shared" si="70"/>
        <v>42</v>
      </c>
      <c r="E87" s="270">
        <f t="shared" si="70"/>
        <v>391.04049999999995</v>
      </c>
      <c r="F87" s="270">
        <f t="shared" si="70"/>
        <v>154.3</v>
      </c>
      <c r="G87" s="270">
        <f t="shared" si="70"/>
        <v>199.97699999999998</v>
      </c>
      <c r="H87" s="270">
        <f t="shared" si="70"/>
        <v>29.399999999999988</v>
      </c>
      <c r="I87" s="270">
        <f t="shared" si="70"/>
        <v>8.2</v>
      </c>
      <c r="J87" s="270">
        <f t="shared" si="70"/>
        <v>0</v>
      </c>
      <c r="K87" s="270">
        <f t="shared" si="70"/>
        <v>74.23</v>
      </c>
      <c r="L87" s="270">
        <f t="shared" si="70"/>
        <v>0</v>
      </c>
      <c r="M87" s="270">
        <f t="shared" si="70"/>
        <v>0.512</v>
      </c>
      <c r="N87" s="270">
        <f t="shared" si="70"/>
        <v>0</v>
      </c>
      <c r="O87" s="270">
        <f t="shared" si="70"/>
        <v>37.115</v>
      </c>
      <c r="P87" s="270">
        <f t="shared" si="70"/>
        <v>0</v>
      </c>
      <c r="Q87" s="270">
        <f t="shared" si="70"/>
        <v>0</v>
      </c>
      <c r="R87" s="270">
        <f t="shared" si="70"/>
        <v>0</v>
      </c>
      <c r="S87" s="270">
        <f t="shared" si="70"/>
        <v>0</v>
      </c>
      <c r="T87" s="270">
        <f t="shared" si="70"/>
        <v>44.53799999999998</v>
      </c>
      <c r="U87" s="270">
        <f t="shared" si="70"/>
        <v>0.45</v>
      </c>
      <c r="V87" s="270"/>
      <c r="W87" s="270">
        <f>W88+W124</f>
        <v>4.5</v>
      </c>
      <c r="X87" s="270">
        <f>X88+X124</f>
        <v>36.76350000000001</v>
      </c>
      <c r="Y87" s="271">
        <f>Y88+Y124</f>
        <v>6991804204</v>
      </c>
      <c r="Z87" s="314"/>
      <c r="AA87" s="314">
        <f>SUM(AA88:AA92)</f>
        <v>39.859750000000005</v>
      </c>
      <c r="AB87" s="314">
        <f aca="true" t="shared" si="71" ref="AB87:AT87">SUM(AB88:AB92)</f>
        <v>17.71</v>
      </c>
      <c r="AC87" s="314">
        <f t="shared" si="71"/>
        <v>18.0075</v>
      </c>
      <c r="AD87" s="314">
        <f t="shared" si="71"/>
        <v>3.5</v>
      </c>
      <c r="AE87" s="314">
        <f t="shared" si="71"/>
        <v>0.7</v>
      </c>
      <c r="AF87" s="314">
        <f t="shared" si="71"/>
        <v>0</v>
      </c>
      <c r="AG87" s="314">
        <f t="shared" si="71"/>
        <v>9.205000000000002</v>
      </c>
      <c r="AH87" s="314">
        <f t="shared" si="71"/>
        <v>0</v>
      </c>
      <c r="AI87" s="314">
        <f t="shared" si="71"/>
        <v>0</v>
      </c>
      <c r="AJ87" s="314">
        <f t="shared" si="71"/>
        <v>0</v>
      </c>
      <c r="AK87" s="314">
        <f t="shared" si="71"/>
        <v>4.602500000000001</v>
      </c>
      <c r="AL87" s="314">
        <f t="shared" si="71"/>
        <v>0</v>
      </c>
      <c r="AM87" s="314">
        <f t="shared" si="71"/>
        <v>0</v>
      </c>
      <c r="AN87" s="314">
        <f t="shared" si="71"/>
        <v>0</v>
      </c>
      <c r="AO87" s="314">
        <f t="shared" si="71"/>
        <v>0</v>
      </c>
      <c r="AP87" s="314">
        <f t="shared" si="71"/>
        <v>0</v>
      </c>
      <c r="AQ87" s="314">
        <f t="shared" si="71"/>
        <v>0</v>
      </c>
      <c r="AR87" s="314">
        <f t="shared" si="71"/>
        <v>0</v>
      </c>
      <c r="AS87" s="437">
        <f t="shared" si="71"/>
        <v>4.142250000000001</v>
      </c>
      <c r="AT87" s="340">
        <f t="shared" si="71"/>
        <v>712692330</v>
      </c>
      <c r="AU87" s="16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</row>
    <row r="88" spans="1:75" ht="15.75">
      <c r="A88" s="287" t="s">
        <v>111</v>
      </c>
      <c r="B88" s="288" t="s">
        <v>110</v>
      </c>
      <c r="C88" s="416">
        <v>36</v>
      </c>
      <c r="D88" s="416">
        <v>31</v>
      </c>
      <c r="E88" s="289">
        <f aca="true" t="shared" si="72" ref="E88:Y88">+E89+E121</f>
        <v>287.59719999999993</v>
      </c>
      <c r="F88" s="289">
        <f t="shared" si="72"/>
        <v>115.39000000000001</v>
      </c>
      <c r="G88" s="289">
        <f t="shared" si="72"/>
        <v>144.85799999999998</v>
      </c>
      <c r="H88" s="289">
        <f t="shared" si="72"/>
        <v>20.99999999999999</v>
      </c>
      <c r="I88" s="289">
        <f t="shared" si="72"/>
        <v>5.65</v>
      </c>
      <c r="J88" s="289">
        <f t="shared" si="72"/>
        <v>0</v>
      </c>
      <c r="K88" s="289">
        <f t="shared" si="72"/>
        <v>53.50000000000001</v>
      </c>
      <c r="L88" s="289">
        <f t="shared" si="72"/>
        <v>0</v>
      </c>
      <c r="M88" s="289">
        <f t="shared" si="72"/>
        <v>0.512</v>
      </c>
      <c r="N88" s="289">
        <f t="shared" si="72"/>
        <v>0</v>
      </c>
      <c r="O88" s="289">
        <f t="shared" si="72"/>
        <v>26.750000000000004</v>
      </c>
      <c r="P88" s="289">
        <f t="shared" si="72"/>
        <v>0</v>
      </c>
      <c r="Q88" s="289">
        <f t="shared" si="72"/>
        <v>0</v>
      </c>
      <c r="R88" s="289">
        <f t="shared" si="72"/>
        <v>0</v>
      </c>
      <c r="S88" s="289">
        <f t="shared" si="72"/>
        <v>0</v>
      </c>
      <c r="T88" s="289">
        <f t="shared" si="72"/>
        <v>32.09999999999999</v>
      </c>
      <c r="U88" s="289">
        <f t="shared" si="72"/>
        <v>0.45</v>
      </c>
      <c r="V88" s="289">
        <f t="shared" si="72"/>
        <v>0.396</v>
      </c>
      <c r="W88" s="289">
        <f t="shared" si="72"/>
        <v>4.5</v>
      </c>
      <c r="X88" s="289">
        <f t="shared" si="72"/>
        <v>27.349200000000007</v>
      </c>
      <c r="Y88" s="289">
        <f t="shared" si="72"/>
        <v>5142238000</v>
      </c>
      <c r="Z88" s="340"/>
      <c r="AA88" s="341">
        <f>AB88+AC88+AS88</f>
        <v>8.521</v>
      </c>
      <c r="AB88" s="342">
        <f>3.66</f>
        <v>3.66</v>
      </c>
      <c r="AC88" s="341">
        <f>SUM(AD88:AQ88)</f>
        <v>3.9699999999999998</v>
      </c>
      <c r="AD88" s="342">
        <v>0.7</v>
      </c>
      <c r="AE88" s="342">
        <v>0.3</v>
      </c>
      <c r="AF88" s="340"/>
      <c r="AG88" s="343">
        <f>(AB88+AE88)*0.5</f>
        <v>1.98</v>
      </c>
      <c r="AH88" s="340"/>
      <c r="AI88" s="340"/>
      <c r="AJ88" s="340"/>
      <c r="AK88" s="344">
        <f>0.25*(AB88+AE88)</f>
        <v>0.99</v>
      </c>
      <c r="AL88" s="340"/>
      <c r="AM88" s="340"/>
      <c r="AN88" s="340"/>
      <c r="AO88" s="340"/>
      <c r="AP88" s="340"/>
      <c r="AQ88" s="340"/>
      <c r="AR88" s="340"/>
      <c r="AS88" s="444">
        <f>(AB88+AE88)*22.5%</f>
        <v>0.891</v>
      </c>
      <c r="AT88" s="345">
        <f>AA88*12*1490000</f>
        <v>152355480</v>
      </c>
      <c r="AU88" s="16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</row>
    <row r="89" spans="1:75" ht="15.75">
      <c r="A89" s="287" t="s">
        <v>86</v>
      </c>
      <c r="B89" s="288" t="s">
        <v>73</v>
      </c>
      <c r="C89" s="416"/>
      <c r="D89" s="416"/>
      <c r="E89" s="346">
        <f aca="true" t="shared" si="73" ref="E89:X89">SUM(E90:E120)</f>
        <v>287.59719999999993</v>
      </c>
      <c r="F89" s="289">
        <f t="shared" si="73"/>
        <v>115.39000000000001</v>
      </c>
      <c r="G89" s="289">
        <f t="shared" si="73"/>
        <v>144.85799999999998</v>
      </c>
      <c r="H89" s="289">
        <f t="shared" si="73"/>
        <v>20.99999999999999</v>
      </c>
      <c r="I89" s="289">
        <f t="shared" si="73"/>
        <v>5.65</v>
      </c>
      <c r="J89" s="289">
        <f t="shared" si="73"/>
        <v>0</v>
      </c>
      <c r="K89" s="289">
        <f t="shared" si="73"/>
        <v>53.50000000000001</v>
      </c>
      <c r="L89" s="289">
        <f t="shared" si="73"/>
        <v>0</v>
      </c>
      <c r="M89" s="289">
        <f t="shared" si="73"/>
        <v>0.512</v>
      </c>
      <c r="N89" s="289">
        <f t="shared" si="73"/>
        <v>0</v>
      </c>
      <c r="O89" s="289">
        <f t="shared" si="73"/>
        <v>26.750000000000004</v>
      </c>
      <c r="P89" s="289">
        <f t="shared" si="73"/>
        <v>0</v>
      </c>
      <c r="Q89" s="289">
        <f t="shared" si="73"/>
        <v>0</v>
      </c>
      <c r="R89" s="289">
        <f t="shared" si="73"/>
        <v>0</v>
      </c>
      <c r="S89" s="289">
        <f t="shared" si="73"/>
        <v>0</v>
      </c>
      <c r="T89" s="289">
        <f t="shared" si="73"/>
        <v>32.09999999999999</v>
      </c>
      <c r="U89" s="289">
        <f t="shared" si="73"/>
        <v>0.45</v>
      </c>
      <c r="V89" s="289">
        <f t="shared" si="73"/>
        <v>0.396</v>
      </c>
      <c r="W89" s="289">
        <f t="shared" si="73"/>
        <v>4.5</v>
      </c>
      <c r="X89" s="289">
        <f t="shared" si="73"/>
        <v>27.349200000000007</v>
      </c>
      <c r="Y89" s="289">
        <f>ROUNDUP(SUM(Y90:Y120),-3)</f>
        <v>5142238000</v>
      </c>
      <c r="Z89" s="340"/>
      <c r="AA89" s="341">
        <f>AB89+AC89+AS89</f>
        <v>8.97525</v>
      </c>
      <c r="AB89" s="342">
        <f>3.99</f>
        <v>3.99</v>
      </c>
      <c r="AC89" s="341">
        <f>SUM(AD89:AQ89)</f>
        <v>4.0425</v>
      </c>
      <c r="AD89" s="342">
        <v>0.7</v>
      </c>
      <c r="AE89" s="342">
        <v>0.2</v>
      </c>
      <c r="AF89" s="340"/>
      <c r="AG89" s="343">
        <f>(AB89+AE89)*0.5</f>
        <v>2.095</v>
      </c>
      <c r="AH89" s="340"/>
      <c r="AI89" s="340"/>
      <c r="AJ89" s="340"/>
      <c r="AK89" s="344">
        <f>0.25*(AB89+AE89)</f>
        <v>1.0475</v>
      </c>
      <c r="AL89" s="340"/>
      <c r="AM89" s="340"/>
      <c r="AN89" s="340"/>
      <c r="AO89" s="340"/>
      <c r="AP89" s="340"/>
      <c r="AQ89" s="340"/>
      <c r="AR89" s="340"/>
      <c r="AS89" s="444">
        <f>(AB89+AE89)*22.5%</f>
        <v>0.9427500000000001</v>
      </c>
      <c r="AT89" s="345">
        <f>AA89*12*1490000</f>
        <v>160477470</v>
      </c>
      <c r="AU89" s="16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</row>
    <row r="90" spans="1:75" ht="15.75">
      <c r="A90" s="347">
        <v>1</v>
      </c>
      <c r="B90" s="9" t="s">
        <v>109</v>
      </c>
      <c r="C90" s="418"/>
      <c r="D90" s="418"/>
      <c r="E90" s="348">
        <f>F90+G90+X90</f>
        <v>13.4535</v>
      </c>
      <c r="F90" s="349">
        <v>4.74</v>
      </c>
      <c r="G90" s="348">
        <f>SUM(H90:W90)</f>
        <v>7.467</v>
      </c>
      <c r="H90" s="348">
        <v>0.7</v>
      </c>
      <c r="I90" s="350">
        <v>0.8</v>
      </c>
      <c r="J90" s="348"/>
      <c r="K90" s="348">
        <f aca="true" t="shared" si="74" ref="K90:K117">(F90+I90+J90)*50%</f>
        <v>2.77</v>
      </c>
      <c r="L90" s="348"/>
      <c r="M90" s="348"/>
      <c r="N90" s="348"/>
      <c r="O90" s="351">
        <f aca="true" t="shared" si="75" ref="O90:O117">(F90+I90+J90)*25%</f>
        <v>1.385</v>
      </c>
      <c r="P90" s="348"/>
      <c r="Q90" s="348"/>
      <c r="R90" s="348"/>
      <c r="S90" s="352"/>
      <c r="T90" s="348">
        <f aca="true" t="shared" si="76" ref="T90:T119">(F90+I90+J90)*30%</f>
        <v>1.662</v>
      </c>
      <c r="U90" s="348"/>
      <c r="V90" s="348"/>
      <c r="W90" s="348">
        <v>0.15</v>
      </c>
      <c r="X90" s="348">
        <f>(F90+I90+J90)*22.5%</f>
        <v>1.2465</v>
      </c>
      <c r="Y90" s="353">
        <f>E90*1490000*12</f>
        <v>240548580</v>
      </c>
      <c r="Z90" s="340"/>
      <c r="AA90" s="341">
        <f>AB90+AC90+AS90</f>
        <v>9.626999999999999</v>
      </c>
      <c r="AB90" s="342">
        <f>4.32</f>
        <v>4.32</v>
      </c>
      <c r="AC90" s="341">
        <f>SUM(AD90:AQ90)</f>
        <v>4.29</v>
      </c>
      <c r="AD90" s="342">
        <v>0.7</v>
      </c>
      <c r="AE90" s="342">
        <v>0.2</v>
      </c>
      <c r="AF90" s="340"/>
      <c r="AG90" s="343">
        <f>(AB90+AE90)*0.5</f>
        <v>2.2600000000000002</v>
      </c>
      <c r="AH90" s="340"/>
      <c r="AI90" s="340"/>
      <c r="AJ90" s="340"/>
      <c r="AK90" s="344">
        <f>0.25*(AB90+AE90)</f>
        <v>1.1300000000000001</v>
      </c>
      <c r="AL90" s="340"/>
      <c r="AM90" s="340"/>
      <c r="AN90" s="340"/>
      <c r="AO90" s="340"/>
      <c r="AP90" s="340"/>
      <c r="AQ90" s="340"/>
      <c r="AR90" s="340"/>
      <c r="AS90" s="444">
        <f>(AB90+AE90)*22.5%</f>
        <v>1.0170000000000001</v>
      </c>
      <c r="AT90" s="345">
        <f>AA90*12*1490000</f>
        <v>172130759.99999997</v>
      </c>
      <c r="AU90" s="17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</row>
    <row r="91" spans="1:75" ht="15.75">
      <c r="A91" s="347">
        <v>2</v>
      </c>
      <c r="B91" s="9" t="s">
        <v>34</v>
      </c>
      <c r="C91" s="418"/>
      <c r="D91" s="418"/>
      <c r="E91" s="348">
        <f aca="true" t="shared" si="77" ref="E91:E119">F91+G91+X91</f>
        <v>10.018250000000002</v>
      </c>
      <c r="F91" s="349">
        <v>3.33</v>
      </c>
      <c r="G91" s="348">
        <f aca="true" t="shared" si="78" ref="G91:G120">SUM(H91:W91)</f>
        <v>5.781500000000001</v>
      </c>
      <c r="H91" s="348">
        <v>0.7</v>
      </c>
      <c r="I91" s="350">
        <v>0.7</v>
      </c>
      <c r="J91" s="348"/>
      <c r="K91" s="348">
        <f t="shared" si="74"/>
        <v>2.015</v>
      </c>
      <c r="L91" s="348"/>
      <c r="M91" s="348"/>
      <c r="N91" s="348"/>
      <c r="O91" s="351">
        <f t="shared" si="75"/>
        <v>1.0075</v>
      </c>
      <c r="P91" s="348"/>
      <c r="Q91" s="348"/>
      <c r="R91" s="348"/>
      <c r="S91" s="352"/>
      <c r="T91" s="348">
        <f t="shared" si="76"/>
        <v>1.209</v>
      </c>
      <c r="U91" s="348"/>
      <c r="V91" s="348"/>
      <c r="W91" s="348">
        <v>0.15</v>
      </c>
      <c r="X91" s="348">
        <f>(F91+I91+J91)*22.5%</f>
        <v>0.9067500000000001</v>
      </c>
      <c r="Y91" s="353">
        <f aca="true" t="shared" si="79" ref="Y91:Y118">E91*1490000*12</f>
        <v>179126310.00000006</v>
      </c>
      <c r="Z91" s="341"/>
      <c r="AA91" s="341">
        <f>AB91+AC91+AS91</f>
        <v>5.4597500000000005</v>
      </c>
      <c r="AB91" s="342">
        <v>2.41</v>
      </c>
      <c r="AC91" s="341">
        <f>SUM(AD91:AQ91)</f>
        <v>2.5075000000000003</v>
      </c>
      <c r="AD91" s="342">
        <v>0.7</v>
      </c>
      <c r="AE91" s="341"/>
      <c r="AF91" s="341"/>
      <c r="AG91" s="343">
        <f>(AB91+AE91)*0.5</f>
        <v>1.205</v>
      </c>
      <c r="AH91" s="341"/>
      <c r="AI91" s="341"/>
      <c r="AJ91" s="341"/>
      <c r="AK91" s="344">
        <f>0.25*(AB91+AE91)</f>
        <v>0.6025</v>
      </c>
      <c r="AL91" s="341"/>
      <c r="AM91" s="341"/>
      <c r="AN91" s="341"/>
      <c r="AO91" s="341"/>
      <c r="AP91" s="341"/>
      <c r="AQ91" s="341"/>
      <c r="AR91" s="341"/>
      <c r="AS91" s="444">
        <f>(AB91+AE91)*22.5%</f>
        <v>0.54225</v>
      </c>
      <c r="AT91" s="345">
        <f>AA91*12*1490000</f>
        <v>97620330.00000001</v>
      </c>
      <c r="AU91" s="17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</row>
    <row r="92" spans="1:75" ht="15.75">
      <c r="A92" s="347">
        <v>3</v>
      </c>
      <c r="B92" s="9" t="s">
        <v>37</v>
      </c>
      <c r="C92" s="418"/>
      <c r="D92" s="418"/>
      <c r="E92" s="348">
        <f t="shared" si="77"/>
        <v>15.9462</v>
      </c>
      <c r="F92" s="349">
        <v>5.76</v>
      </c>
      <c r="G92" s="348">
        <f t="shared" si="78"/>
        <v>8.639999999999999</v>
      </c>
      <c r="H92" s="348">
        <v>0.7</v>
      </c>
      <c r="I92" s="350">
        <v>0.6</v>
      </c>
      <c r="J92" s="348"/>
      <c r="K92" s="348">
        <f t="shared" si="74"/>
        <v>3.1799999999999997</v>
      </c>
      <c r="L92" s="348"/>
      <c r="M92" s="348">
        <v>0.512</v>
      </c>
      <c r="N92" s="348"/>
      <c r="O92" s="351">
        <f>(F92+I92+J92)*25%</f>
        <v>1.5899999999999999</v>
      </c>
      <c r="P92" s="348"/>
      <c r="Q92" s="348"/>
      <c r="R92" s="348"/>
      <c r="S92" s="352"/>
      <c r="T92" s="348">
        <f t="shared" si="76"/>
        <v>1.9079999999999997</v>
      </c>
      <c r="U92" s="348"/>
      <c r="V92" s="348"/>
      <c r="W92" s="348">
        <v>0.15</v>
      </c>
      <c r="X92" s="348">
        <f>(F92+I92+J92+M92)*22.5%</f>
        <v>1.5462</v>
      </c>
      <c r="Y92" s="353">
        <f t="shared" si="79"/>
        <v>285118056</v>
      </c>
      <c r="Z92" s="354"/>
      <c r="AA92" s="341">
        <f>AB92+AC92+AS92</f>
        <v>7.27675</v>
      </c>
      <c r="AB92" s="342">
        <v>3.33</v>
      </c>
      <c r="AC92" s="341">
        <f>SUM(AD92:AQ92)</f>
        <v>3.1975000000000002</v>
      </c>
      <c r="AD92" s="342">
        <v>0.7</v>
      </c>
      <c r="AE92" s="354"/>
      <c r="AF92" s="354"/>
      <c r="AG92" s="343">
        <f>(AB92+AE92)*0.5</f>
        <v>1.665</v>
      </c>
      <c r="AH92" s="354"/>
      <c r="AI92" s="354"/>
      <c r="AJ92" s="354"/>
      <c r="AK92" s="344">
        <f>0.25*(AB92+AE92)</f>
        <v>0.8325</v>
      </c>
      <c r="AL92" s="354"/>
      <c r="AM92" s="354"/>
      <c r="AN92" s="354"/>
      <c r="AO92" s="354"/>
      <c r="AP92" s="354"/>
      <c r="AQ92" s="354"/>
      <c r="AR92" s="354"/>
      <c r="AS92" s="444">
        <f>(AB92+AE92)*22.5%</f>
        <v>0.7492500000000001</v>
      </c>
      <c r="AT92" s="345">
        <f>AA92*12*1490000</f>
        <v>130108290</v>
      </c>
      <c r="AU92" s="17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</row>
    <row r="93" spans="1:75" ht="15.75">
      <c r="A93" s="347">
        <v>4</v>
      </c>
      <c r="B93" s="9" t="s">
        <v>108</v>
      </c>
      <c r="C93" s="418"/>
      <c r="D93" s="418"/>
      <c r="E93" s="348">
        <f t="shared" si="77"/>
        <v>10.255</v>
      </c>
      <c r="F93" s="349">
        <v>3.66</v>
      </c>
      <c r="G93" s="348">
        <f t="shared" si="78"/>
        <v>5.704</v>
      </c>
      <c r="H93" s="348">
        <v>0.7</v>
      </c>
      <c r="I93" s="350">
        <v>0.3</v>
      </c>
      <c r="J93" s="348"/>
      <c r="K93" s="348">
        <f t="shared" si="74"/>
        <v>1.98</v>
      </c>
      <c r="L93" s="348"/>
      <c r="M93" s="348"/>
      <c r="N93" s="348"/>
      <c r="O93" s="351">
        <f t="shared" si="75"/>
        <v>0.99</v>
      </c>
      <c r="P93" s="348"/>
      <c r="Q93" s="348"/>
      <c r="R93" s="348"/>
      <c r="S93" s="352"/>
      <c r="T93" s="348">
        <f t="shared" si="76"/>
        <v>1.188</v>
      </c>
      <c r="U93" s="348"/>
      <c r="V93" s="348">
        <f>(F93+I93+J93)*10%</f>
        <v>0.396</v>
      </c>
      <c r="W93" s="348">
        <v>0.15</v>
      </c>
      <c r="X93" s="348">
        <f>(F93+I93+J93)*22.5%</f>
        <v>0.891</v>
      </c>
      <c r="Y93" s="353">
        <f t="shared" si="79"/>
        <v>183359400.00000003</v>
      </c>
      <c r="Z93" s="314"/>
      <c r="AA93" s="314">
        <f>AA94+AA130+AA136+AA139+AA143+AA145</f>
        <v>414.48494999999997</v>
      </c>
      <c r="AB93" s="314">
        <f aca="true" t="shared" si="80" ref="AB93:AT93">AB94+AB130+AB136+AB139+AB143+AB145</f>
        <v>167.75000000000003</v>
      </c>
      <c r="AC93" s="314">
        <f t="shared" si="80"/>
        <v>206.96349999999995</v>
      </c>
      <c r="AD93" s="314">
        <f t="shared" si="80"/>
        <v>30.099999999999987</v>
      </c>
      <c r="AE93" s="314">
        <f t="shared" si="80"/>
        <v>8.5</v>
      </c>
      <c r="AF93" s="314">
        <f t="shared" si="80"/>
        <v>0</v>
      </c>
      <c r="AG93" s="314">
        <f t="shared" si="80"/>
        <v>76.42500000000001</v>
      </c>
      <c r="AH93" s="314">
        <f t="shared" si="80"/>
        <v>0</v>
      </c>
      <c r="AI93" s="314">
        <f t="shared" si="80"/>
        <v>0.512</v>
      </c>
      <c r="AJ93" s="314">
        <f t="shared" si="80"/>
        <v>0</v>
      </c>
      <c r="AK93" s="314">
        <f t="shared" si="80"/>
        <v>38.212500000000006</v>
      </c>
      <c r="AL93" s="314">
        <f t="shared" si="80"/>
        <v>0</v>
      </c>
      <c r="AM93" s="314">
        <f t="shared" si="80"/>
        <v>0</v>
      </c>
      <c r="AN93" s="314">
        <f t="shared" si="80"/>
        <v>0</v>
      </c>
      <c r="AO93" s="314">
        <f t="shared" si="80"/>
        <v>0</v>
      </c>
      <c r="AP93" s="314">
        <f t="shared" si="80"/>
        <v>45.85499999999999</v>
      </c>
      <c r="AQ93" s="314">
        <f t="shared" si="80"/>
        <v>1.7990000000000004</v>
      </c>
      <c r="AR93" s="314">
        <f t="shared" si="80"/>
        <v>5.5600000000000005</v>
      </c>
      <c r="AS93" s="437">
        <f t="shared" si="80"/>
        <v>39.77145000000001</v>
      </c>
      <c r="AT93" s="340">
        <f t="shared" si="80"/>
        <v>6684386073.5</v>
      </c>
      <c r="AU93" s="17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</row>
    <row r="94" spans="1:75" ht="15.75">
      <c r="A94" s="347">
        <v>5</v>
      </c>
      <c r="B94" s="9" t="s">
        <v>17</v>
      </c>
      <c r="C94" s="418"/>
      <c r="D94" s="418"/>
      <c r="E94" s="348">
        <f t="shared" si="77"/>
        <v>11.5425</v>
      </c>
      <c r="F94" s="349">
        <v>4.4</v>
      </c>
      <c r="G94" s="348">
        <f t="shared" si="78"/>
        <v>6.085000000000001</v>
      </c>
      <c r="H94" s="348">
        <v>0.7</v>
      </c>
      <c r="I94" s="350">
        <v>0.3</v>
      </c>
      <c r="J94" s="348"/>
      <c r="K94" s="348">
        <f t="shared" si="74"/>
        <v>2.35</v>
      </c>
      <c r="L94" s="348"/>
      <c r="M94" s="348"/>
      <c r="N94" s="348"/>
      <c r="O94" s="351">
        <f t="shared" si="75"/>
        <v>1.175</v>
      </c>
      <c r="P94" s="348"/>
      <c r="Q94" s="348"/>
      <c r="R94" s="348"/>
      <c r="S94" s="352"/>
      <c r="T94" s="348">
        <f t="shared" si="76"/>
        <v>1.41</v>
      </c>
      <c r="U94" s="348"/>
      <c r="V94" s="348"/>
      <c r="W94" s="348">
        <v>0.15</v>
      </c>
      <c r="X94" s="348">
        <f aca="true" t="shared" si="81" ref="X94:X117">(F94+I94+J94)*22.5%</f>
        <v>1.0575</v>
      </c>
      <c r="Y94" s="353">
        <f t="shared" si="79"/>
        <v>206379900</v>
      </c>
      <c r="Z94" s="314"/>
      <c r="AA94" s="314">
        <f>AA95</f>
        <v>297.82019999999994</v>
      </c>
      <c r="AB94" s="314">
        <f aca="true" t="shared" si="82" ref="AB94:AT94">AB95</f>
        <v>120.59000000000003</v>
      </c>
      <c r="AC94" s="314">
        <f t="shared" si="82"/>
        <v>148.71099999999998</v>
      </c>
      <c r="AD94" s="314">
        <f t="shared" si="82"/>
        <v>21.69999999999999</v>
      </c>
      <c r="AE94" s="314">
        <f t="shared" si="82"/>
        <v>5.65</v>
      </c>
      <c r="AF94" s="314">
        <f t="shared" si="82"/>
        <v>0</v>
      </c>
      <c r="AG94" s="314">
        <f t="shared" si="82"/>
        <v>54.93000000000001</v>
      </c>
      <c r="AH94" s="314">
        <f t="shared" si="82"/>
        <v>0</v>
      </c>
      <c r="AI94" s="314">
        <f t="shared" si="82"/>
        <v>0.512</v>
      </c>
      <c r="AJ94" s="314">
        <f t="shared" si="82"/>
        <v>0</v>
      </c>
      <c r="AK94" s="314">
        <f t="shared" si="82"/>
        <v>27.465000000000003</v>
      </c>
      <c r="AL94" s="314">
        <f t="shared" si="82"/>
        <v>0</v>
      </c>
      <c r="AM94" s="314">
        <f t="shared" si="82"/>
        <v>0</v>
      </c>
      <c r="AN94" s="314">
        <f t="shared" si="82"/>
        <v>0</v>
      </c>
      <c r="AO94" s="314">
        <f t="shared" si="82"/>
        <v>0</v>
      </c>
      <c r="AP94" s="314">
        <f t="shared" si="82"/>
        <v>32.957999999999984</v>
      </c>
      <c r="AQ94" s="314">
        <f t="shared" si="82"/>
        <v>0.396</v>
      </c>
      <c r="AR94" s="314">
        <f t="shared" si="82"/>
        <v>5.1000000000000005</v>
      </c>
      <c r="AS94" s="437">
        <f t="shared" si="82"/>
        <v>28.51920000000001</v>
      </c>
      <c r="AT94" s="340">
        <f t="shared" si="82"/>
        <v>5009025976</v>
      </c>
      <c r="AU94" s="17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</row>
    <row r="95" spans="1:75" ht="15.75">
      <c r="A95" s="347">
        <v>6</v>
      </c>
      <c r="B95" s="9" t="s">
        <v>107</v>
      </c>
      <c r="C95" s="418"/>
      <c r="D95" s="418"/>
      <c r="E95" s="348">
        <f t="shared" si="77"/>
        <v>5.6274999999999995</v>
      </c>
      <c r="F95" s="349">
        <v>2.1</v>
      </c>
      <c r="G95" s="348">
        <f t="shared" si="78"/>
        <v>3.0549999999999997</v>
      </c>
      <c r="H95" s="348">
        <v>0.7</v>
      </c>
      <c r="I95" s="350"/>
      <c r="J95" s="348"/>
      <c r="K95" s="348">
        <f t="shared" si="74"/>
        <v>1.05</v>
      </c>
      <c r="L95" s="348"/>
      <c r="M95" s="348"/>
      <c r="N95" s="348"/>
      <c r="O95" s="351">
        <f t="shared" si="75"/>
        <v>0.525</v>
      </c>
      <c r="P95" s="348"/>
      <c r="Q95" s="348"/>
      <c r="R95" s="348"/>
      <c r="S95" s="352"/>
      <c r="T95" s="348">
        <f t="shared" si="76"/>
        <v>0.63</v>
      </c>
      <c r="U95" s="348"/>
      <c r="V95" s="348"/>
      <c r="W95" s="348">
        <v>0.15</v>
      </c>
      <c r="X95" s="348">
        <f t="shared" si="81"/>
        <v>0.47250000000000003</v>
      </c>
      <c r="Y95" s="353">
        <f t="shared" si="79"/>
        <v>100619699.99999999</v>
      </c>
      <c r="Z95" s="355"/>
      <c r="AA95" s="314">
        <f>SUM(AA96:AA129,)</f>
        <v>297.82019999999994</v>
      </c>
      <c r="AB95" s="314">
        <f aca="true" t="shared" si="83" ref="AB95:AS95">SUM(AB96:AB129,)</f>
        <v>120.59000000000003</v>
      </c>
      <c r="AC95" s="314">
        <f t="shared" si="83"/>
        <v>148.71099999999998</v>
      </c>
      <c r="AD95" s="314">
        <f t="shared" si="83"/>
        <v>21.69999999999999</v>
      </c>
      <c r="AE95" s="314">
        <f t="shared" si="83"/>
        <v>5.65</v>
      </c>
      <c r="AF95" s="314">
        <f t="shared" si="83"/>
        <v>0</v>
      </c>
      <c r="AG95" s="314">
        <f t="shared" si="83"/>
        <v>54.93000000000001</v>
      </c>
      <c r="AH95" s="314">
        <f t="shared" si="83"/>
        <v>0</v>
      </c>
      <c r="AI95" s="314">
        <f t="shared" si="83"/>
        <v>0.512</v>
      </c>
      <c r="AJ95" s="314">
        <f t="shared" si="83"/>
        <v>0</v>
      </c>
      <c r="AK95" s="314">
        <f t="shared" si="83"/>
        <v>27.465000000000003</v>
      </c>
      <c r="AL95" s="314">
        <f t="shared" si="83"/>
        <v>0</v>
      </c>
      <c r="AM95" s="314">
        <f t="shared" si="83"/>
        <v>0</v>
      </c>
      <c r="AN95" s="314">
        <f t="shared" si="83"/>
        <v>0</v>
      </c>
      <c r="AO95" s="314">
        <f t="shared" si="83"/>
        <v>0</v>
      </c>
      <c r="AP95" s="314">
        <f t="shared" si="83"/>
        <v>32.957999999999984</v>
      </c>
      <c r="AQ95" s="314">
        <f t="shared" si="83"/>
        <v>0.396</v>
      </c>
      <c r="AR95" s="314">
        <f t="shared" si="83"/>
        <v>5.1000000000000005</v>
      </c>
      <c r="AS95" s="437">
        <f t="shared" si="83"/>
        <v>28.51920000000001</v>
      </c>
      <c r="AT95" s="340">
        <f>SUM(AT96:AT129,)</f>
        <v>5009025976</v>
      </c>
      <c r="AU95" s="17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</row>
    <row r="96" spans="1:75" ht="15.75">
      <c r="A96" s="347">
        <v>7</v>
      </c>
      <c r="B96" s="9" t="s">
        <v>106</v>
      </c>
      <c r="C96" s="418"/>
      <c r="D96" s="418"/>
      <c r="E96" s="348">
        <f t="shared" si="77"/>
        <v>10.678</v>
      </c>
      <c r="F96" s="349">
        <v>4.32</v>
      </c>
      <c r="G96" s="348">
        <f t="shared" si="78"/>
        <v>5.386000000000001</v>
      </c>
      <c r="H96" s="348">
        <v>0.7</v>
      </c>
      <c r="I96" s="350"/>
      <c r="J96" s="348"/>
      <c r="K96" s="348">
        <f t="shared" si="74"/>
        <v>2.16</v>
      </c>
      <c r="L96" s="348"/>
      <c r="M96" s="348"/>
      <c r="N96" s="348"/>
      <c r="O96" s="351">
        <f t="shared" si="75"/>
        <v>1.08</v>
      </c>
      <c r="P96" s="348"/>
      <c r="Q96" s="348"/>
      <c r="R96" s="348"/>
      <c r="S96" s="352"/>
      <c r="T96" s="348">
        <f t="shared" si="76"/>
        <v>1.296</v>
      </c>
      <c r="U96" s="348"/>
      <c r="V96" s="348"/>
      <c r="W96" s="348">
        <v>0.15</v>
      </c>
      <c r="X96" s="348">
        <f t="shared" si="81"/>
        <v>0.9720000000000001</v>
      </c>
      <c r="Y96" s="353">
        <f t="shared" si="79"/>
        <v>190922640.00000003</v>
      </c>
      <c r="Z96" s="355"/>
      <c r="AA96" s="317">
        <f>AB96+AC96+AS96</f>
        <v>13.4535</v>
      </c>
      <c r="AB96" s="356">
        <v>4.74</v>
      </c>
      <c r="AC96" s="317">
        <f>SUM(AD96:AR96)</f>
        <v>7.467</v>
      </c>
      <c r="AD96" s="317">
        <v>0.7</v>
      </c>
      <c r="AE96" s="357">
        <v>0.8</v>
      </c>
      <c r="AF96" s="317"/>
      <c r="AG96" s="317">
        <f>(AB96+AE96+AF96)*50%</f>
        <v>2.77</v>
      </c>
      <c r="AH96" s="317"/>
      <c r="AI96" s="317"/>
      <c r="AJ96" s="317"/>
      <c r="AK96" s="358">
        <f>(AB96+AE96+AF96)*25%</f>
        <v>1.385</v>
      </c>
      <c r="AL96" s="317"/>
      <c r="AM96" s="317"/>
      <c r="AN96" s="317"/>
      <c r="AO96" s="320"/>
      <c r="AP96" s="317">
        <f>(AB96+AE96+AF96)*30%</f>
        <v>1.662</v>
      </c>
      <c r="AQ96" s="319"/>
      <c r="AR96" s="317">
        <v>0.15</v>
      </c>
      <c r="AS96" s="443">
        <f>(AB96+AE96)*22.5%</f>
        <v>1.2465</v>
      </c>
      <c r="AT96" s="285">
        <f>AA96*1490000*12</f>
        <v>240548580</v>
      </c>
      <c r="AU96" s="17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</row>
    <row r="97" spans="1:75" ht="15.75">
      <c r="A97" s="347">
        <v>8</v>
      </c>
      <c r="B97" s="9" t="s">
        <v>105</v>
      </c>
      <c r="C97" s="418"/>
      <c r="D97" s="418"/>
      <c r="E97" s="348">
        <f t="shared" si="77"/>
        <v>6.4464999999999995</v>
      </c>
      <c r="F97" s="349">
        <v>2.46</v>
      </c>
      <c r="G97" s="348">
        <f t="shared" si="78"/>
        <v>3.433</v>
      </c>
      <c r="H97" s="348">
        <v>0.7</v>
      </c>
      <c r="I97" s="350"/>
      <c r="J97" s="348"/>
      <c r="K97" s="348">
        <f t="shared" si="74"/>
        <v>1.23</v>
      </c>
      <c r="L97" s="348"/>
      <c r="M97" s="348"/>
      <c r="N97" s="348"/>
      <c r="O97" s="351">
        <f t="shared" si="75"/>
        <v>0.615</v>
      </c>
      <c r="P97" s="348"/>
      <c r="Q97" s="348"/>
      <c r="R97" s="348"/>
      <c r="S97" s="352"/>
      <c r="T97" s="348">
        <f t="shared" si="76"/>
        <v>0.738</v>
      </c>
      <c r="U97" s="348"/>
      <c r="V97" s="348"/>
      <c r="W97" s="348">
        <v>0.15</v>
      </c>
      <c r="X97" s="348">
        <f t="shared" si="81"/>
        <v>0.5535</v>
      </c>
      <c r="Y97" s="353">
        <f t="shared" si="79"/>
        <v>115263420</v>
      </c>
      <c r="Z97" s="314"/>
      <c r="AA97" s="317">
        <f>AB97+AC97+AS97</f>
        <v>10.018250000000002</v>
      </c>
      <c r="AB97" s="356">
        <v>3.33</v>
      </c>
      <c r="AC97" s="317">
        <f aca="true" t="shared" si="84" ref="AC97:AC128">SUM(AD97:AR97)</f>
        <v>5.781500000000001</v>
      </c>
      <c r="AD97" s="317">
        <v>0.7</v>
      </c>
      <c r="AE97" s="357">
        <v>0.7</v>
      </c>
      <c r="AF97" s="317"/>
      <c r="AG97" s="317">
        <f aca="true" t="shared" si="85" ref="AG97:AG124">(AB97+AE97+AF97)*50%</f>
        <v>2.015</v>
      </c>
      <c r="AH97" s="317"/>
      <c r="AI97" s="317"/>
      <c r="AJ97" s="317"/>
      <c r="AK97" s="358">
        <f aca="true" t="shared" si="86" ref="AK97:AK124">(AB97+AE97+AF97)*25%</f>
        <v>1.0075</v>
      </c>
      <c r="AL97" s="317"/>
      <c r="AM97" s="317"/>
      <c r="AN97" s="317"/>
      <c r="AO97" s="320"/>
      <c r="AP97" s="317">
        <f aca="true" t="shared" si="87" ref="AP97:AP126">(AB97+AE97+AF97)*30%</f>
        <v>1.209</v>
      </c>
      <c r="AQ97" s="314">
        <f>AQ98</f>
        <v>0</v>
      </c>
      <c r="AR97" s="317">
        <v>0.15</v>
      </c>
      <c r="AS97" s="443">
        <f aca="true" t="shared" si="88" ref="AS97:AS128">(AB97+AE97)*22.5%</f>
        <v>0.9067500000000001</v>
      </c>
      <c r="AT97" s="285">
        <f aca="true" t="shared" si="89" ref="AT97:AT128">AA97*1490000*12</f>
        <v>179126310.00000006</v>
      </c>
      <c r="AU97" s="17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</row>
    <row r="98" spans="1:75" ht="15.75">
      <c r="A98" s="347">
        <v>9</v>
      </c>
      <c r="B98" s="9" t="s">
        <v>36</v>
      </c>
      <c r="C98" s="418"/>
      <c r="D98" s="418"/>
      <c r="E98" s="348">
        <f t="shared" si="77"/>
        <v>13.772</v>
      </c>
      <c r="F98" s="349">
        <v>5.08</v>
      </c>
      <c r="G98" s="348">
        <f t="shared" si="78"/>
        <v>7.414</v>
      </c>
      <c r="H98" s="348">
        <v>0.7</v>
      </c>
      <c r="I98" s="350">
        <v>0.6</v>
      </c>
      <c r="J98" s="348"/>
      <c r="K98" s="348">
        <f t="shared" si="74"/>
        <v>2.84</v>
      </c>
      <c r="L98" s="348"/>
      <c r="M98" s="348"/>
      <c r="N98" s="348"/>
      <c r="O98" s="351">
        <f t="shared" si="75"/>
        <v>1.42</v>
      </c>
      <c r="P98" s="348"/>
      <c r="Q98" s="348"/>
      <c r="R98" s="348"/>
      <c r="S98" s="352"/>
      <c r="T98" s="348">
        <f t="shared" si="76"/>
        <v>1.704</v>
      </c>
      <c r="U98" s="348"/>
      <c r="V98" s="348"/>
      <c r="W98" s="348">
        <v>0.15</v>
      </c>
      <c r="X98" s="348">
        <f t="shared" si="81"/>
        <v>1.278</v>
      </c>
      <c r="Y98" s="353">
        <f t="shared" si="79"/>
        <v>246243360</v>
      </c>
      <c r="Z98" s="319"/>
      <c r="AA98" s="317">
        <f>AB98+AC98+AS98</f>
        <v>15.9462</v>
      </c>
      <c r="AB98" s="356">
        <v>5.76</v>
      </c>
      <c r="AC98" s="317">
        <f t="shared" si="84"/>
        <v>8.639999999999999</v>
      </c>
      <c r="AD98" s="317">
        <v>0.7</v>
      </c>
      <c r="AE98" s="357">
        <v>0.6</v>
      </c>
      <c r="AF98" s="317"/>
      <c r="AG98" s="317">
        <f t="shared" si="85"/>
        <v>3.1799999999999997</v>
      </c>
      <c r="AH98" s="317"/>
      <c r="AI98" s="317">
        <v>0.512</v>
      </c>
      <c r="AJ98" s="317"/>
      <c r="AK98" s="358">
        <f t="shared" si="86"/>
        <v>1.5899999999999999</v>
      </c>
      <c r="AL98" s="317"/>
      <c r="AM98" s="317"/>
      <c r="AN98" s="317"/>
      <c r="AO98" s="320"/>
      <c r="AP98" s="317">
        <f t="shared" si="87"/>
        <v>1.9079999999999997</v>
      </c>
      <c r="AQ98" s="319"/>
      <c r="AR98" s="317">
        <v>0.15</v>
      </c>
      <c r="AS98" s="443">
        <f>(AB98+AE98+AI98)*22.5%</f>
        <v>1.5462</v>
      </c>
      <c r="AT98" s="285">
        <f>AA98*1490000*12</f>
        <v>285118056</v>
      </c>
      <c r="AU98" s="17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</row>
    <row r="99" spans="1:75" ht="15.75">
      <c r="A99" s="347">
        <v>10</v>
      </c>
      <c r="B99" s="9" t="s">
        <v>104</v>
      </c>
      <c r="C99" s="418"/>
      <c r="D99" s="418"/>
      <c r="E99" s="348">
        <f t="shared" si="77"/>
        <v>10.582250000000002</v>
      </c>
      <c r="F99" s="349">
        <v>3.99</v>
      </c>
      <c r="G99" s="348">
        <f t="shared" si="78"/>
        <v>5.649500000000001</v>
      </c>
      <c r="H99" s="348">
        <v>0.7</v>
      </c>
      <c r="I99" s="350">
        <v>0.2</v>
      </c>
      <c r="J99" s="348"/>
      <c r="K99" s="348">
        <f t="shared" si="74"/>
        <v>2.095</v>
      </c>
      <c r="L99" s="348"/>
      <c r="M99" s="348"/>
      <c r="N99" s="348"/>
      <c r="O99" s="351">
        <f t="shared" si="75"/>
        <v>1.0475</v>
      </c>
      <c r="P99" s="348"/>
      <c r="Q99" s="348"/>
      <c r="R99" s="348"/>
      <c r="S99" s="352"/>
      <c r="T99" s="348">
        <f t="shared" si="76"/>
        <v>1.2570000000000001</v>
      </c>
      <c r="U99" s="348">
        <v>0.2</v>
      </c>
      <c r="V99" s="348"/>
      <c r="W99" s="348">
        <v>0.15</v>
      </c>
      <c r="X99" s="348">
        <f t="shared" si="81"/>
        <v>0.9427500000000001</v>
      </c>
      <c r="Y99" s="353">
        <f t="shared" si="79"/>
        <v>189210630.00000006</v>
      </c>
      <c r="Z99" s="314"/>
      <c r="AA99" s="317">
        <f>AB99+AC99+AS99</f>
        <v>10.255</v>
      </c>
      <c r="AB99" s="356">
        <v>3.66</v>
      </c>
      <c r="AC99" s="317">
        <f>SUM(AD99:AR99)</f>
        <v>5.704</v>
      </c>
      <c r="AD99" s="317">
        <v>0.7</v>
      </c>
      <c r="AE99" s="357">
        <v>0.3</v>
      </c>
      <c r="AF99" s="317"/>
      <c r="AG99" s="317">
        <f t="shared" si="85"/>
        <v>1.98</v>
      </c>
      <c r="AH99" s="317"/>
      <c r="AI99" s="317"/>
      <c r="AJ99" s="317"/>
      <c r="AK99" s="358">
        <f t="shared" si="86"/>
        <v>0.99</v>
      </c>
      <c r="AL99" s="317"/>
      <c r="AM99" s="317"/>
      <c r="AN99" s="317"/>
      <c r="AO99" s="320"/>
      <c r="AP99" s="317">
        <f t="shared" si="87"/>
        <v>1.188</v>
      </c>
      <c r="AQ99" s="319">
        <f>(AB99+AE99)*10%</f>
        <v>0.396</v>
      </c>
      <c r="AR99" s="317">
        <v>0.15</v>
      </c>
      <c r="AS99" s="443">
        <f t="shared" si="88"/>
        <v>0.891</v>
      </c>
      <c r="AT99" s="285">
        <f t="shared" si="89"/>
        <v>183359400.00000003</v>
      </c>
      <c r="AU99" s="17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</row>
    <row r="100" spans="1:75" ht="15.75">
      <c r="A100" s="347">
        <v>11</v>
      </c>
      <c r="B100" s="9" t="s">
        <v>103</v>
      </c>
      <c r="C100" s="418"/>
      <c r="D100" s="418"/>
      <c r="E100" s="348">
        <f t="shared" si="77"/>
        <v>9.631500000000003</v>
      </c>
      <c r="F100" s="349">
        <v>3.66</v>
      </c>
      <c r="G100" s="348">
        <f t="shared" si="78"/>
        <v>5.103000000000001</v>
      </c>
      <c r="H100" s="348">
        <v>0.7</v>
      </c>
      <c r="I100" s="350">
        <v>0.2</v>
      </c>
      <c r="J100" s="348"/>
      <c r="K100" s="348">
        <f t="shared" si="74"/>
        <v>1.9300000000000002</v>
      </c>
      <c r="L100" s="348"/>
      <c r="M100" s="348"/>
      <c r="N100" s="348"/>
      <c r="O100" s="351">
        <f t="shared" si="75"/>
        <v>0.9650000000000001</v>
      </c>
      <c r="P100" s="348"/>
      <c r="Q100" s="348"/>
      <c r="R100" s="348"/>
      <c r="S100" s="352"/>
      <c r="T100" s="348">
        <f t="shared" si="76"/>
        <v>1.1580000000000001</v>
      </c>
      <c r="U100" s="348"/>
      <c r="V100" s="348"/>
      <c r="W100" s="348">
        <v>0.15</v>
      </c>
      <c r="X100" s="348">
        <f t="shared" si="81"/>
        <v>0.8685</v>
      </c>
      <c r="Y100" s="353">
        <f t="shared" si="79"/>
        <v>172211220.00000006</v>
      </c>
      <c r="Z100" s="314"/>
      <c r="AA100" s="317">
        <f aca="true" t="shared" si="90" ref="AA100:AA128">AB100+AC100+AS100</f>
        <v>11.5425</v>
      </c>
      <c r="AB100" s="356">
        <v>4.4</v>
      </c>
      <c r="AC100" s="317">
        <f t="shared" si="84"/>
        <v>6.085000000000001</v>
      </c>
      <c r="AD100" s="317">
        <v>0.7</v>
      </c>
      <c r="AE100" s="357">
        <v>0.3</v>
      </c>
      <c r="AF100" s="317"/>
      <c r="AG100" s="317">
        <f t="shared" si="85"/>
        <v>2.35</v>
      </c>
      <c r="AH100" s="317"/>
      <c r="AI100" s="317"/>
      <c r="AJ100" s="317"/>
      <c r="AK100" s="358">
        <f t="shared" si="86"/>
        <v>1.175</v>
      </c>
      <c r="AL100" s="317"/>
      <c r="AM100" s="317"/>
      <c r="AN100" s="317"/>
      <c r="AO100" s="320"/>
      <c r="AP100" s="317">
        <f t="shared" si="87"/>
        <v>1.41</v>
      </c>
      <c r="AQ100" s="314"/>
      <c r="AR100" s="317">
        <v>0.15</v>
      </c>
      <c r="AS100" s="443">
        <f t="shared" si="88"/>
        <v>1.0575</v>
      </c>
      <c r="AT100" s="285">
        <f t="shared" si="89"/>
        <v>206379900</v>
      </c>
      <c r="AU100" s="17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</row>
    <row r="101" spans="1:75" ht="15.75">
      <c r="A101" s="347">
        <v>12</v>
      </c>
      <c r="B101" s="9" t="s">
        <v>26</v>
      </c>
      <c r="C101" s="418"/>
      <c r="D101" s="418"/>
      <c r="E101" s="348">
        <f t="shared" si="77"/>
        <v>10.496000000000002</v>
      </c>
      <c r="F101" s="349">
        <v>3.99</v>
      </c>
      <c r="G101" s="348">
        <f t="shared" si="78"/>
        <v>5.552000000000001</v>
      </c>
      <c r="H101" s="348">
        <v>0.7</v>
      </c>
      <c r="I101" s="350">
        <v>0.25</v>
      </c>
      <c r="J101" s="348"/>
      <c r="K101" s="348">
        <f t="shared" si="74"/>
        <v>2.12</v>
      </c>
      <c r="L101" s="348"/>
      <c r="M101" s="348"/>
      <c r="N101" s="348"/>
      <c r="O101" s="351">
        <f t="shared" si="75"/>
        <v>1.06</v>
      </c>
      <c r="P101" s="348"/>
      <c r="Q101" s="348"/>
      <c r="R101" s="348"/>
      <c r="S101" s="352"/>
      <c r="T101" s="348">
        <f t="shared" si="76"/>
        <v>1.272</v>
      </c>
      <c r="U101" s="348"/>
      <c r="V101" s="348"/>
      <c r="W101" s="348">
        <v>0.15</v>
      </c>
      <c r="X101" s="348">
        <f t="shared" si="81"/>
        <v>0.9540000000000001</v>
      </c>
      <c r="Y101" s="353">
        <f t="shared" si="79"/>
        <v>187668480.00000006</v>
      </c>
      <c r="Z101" s="319"/>
      <c r="AA101" s="317">
        <f t="shared" si="90"/>
        <v>5.6274999999999995</v>
      </c>
      <c r="AB101" s="356">
        <v>2.1</v>
      </c>
      <c r="AC101" s="317">
        <f t="shared" si="84"/>
        <v>3.0549999999999997</v>
      </c>
      <c r="AD101" s="317">
        <v>0.7</v>
      </c>
      <c r="AE101" s="357"/>
      <c r="AF101" s="317"/>
      <c r="AG101" s="317">
        <f t="shared" si="85"/>
        <v>1.05</v>
      </c>
      <c r="AH101" s="317"/>
      <c r="AI101" s="317"/>
      <c r="AJ101" s="317"/>
      <c r="AK101" s="358">
        <f t="shared" si="86"/>
        <v>0.525</v>
      </c>
      <c r="AL101" s="317"/>
      <c r="AM101" s="317"/>
      <c r="AN101" s="317"/>
      <c r="AO101" s="320"/>
      <c r="AP101" s="317">
        <f t="shared" si="87"/>
        <v>0.63</v>
      </c>
      <c r="AQ101" s="319"/>
      <c r="AR101" s="317">
        <v>0.15</v>
      </c>
      <c r="AS101" s="443">
        <f t="shared" si="88"/>
        <v>0.47250000000000003</v>
      </c>
      <c r="AT101" s="285">
        <f t="shared" si="89"/>
        <v>100619699.99999999</v>
      </c>
      <c r="AU101" s="17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</row>
    <row r="102" spans="1:75" ht="15.75">
      <c r="A102" s="347">
        <v>13</v>
      </c>
      <c r="B102" s="9" t="s">
        <v>24</v>
      </c>
      <c r="C102" s="418"/>
      <c r="D102" s="418"/>
      <c r="E102" s="348">
        <f t="shared" si="77"/>
        <v>9.790750000000001</v>
      </c>
      <c r="F102" s="349">
        <v>3.33</v>
      </c>
      <c r="G102" s="348">
        <f t="shared" si="78"/>
        <v>5.5765</v>
      </c>
      <c r="H102" s="348">
        <v>0.7</v>
      </c>
      <c r="I102" s="350">
        <v>0.6</v>
      </c>
      <c r="J102" s="348"/>
      <c r="K102" s="348">
        <f t="shared" si="74"/>
        <v>1.965</v>
      </c>
      <c r="L102" s="348"/>
      <c r="M102" s="348"/>
      <c r="N102" s="348"/>
      <c r="O102" s="351">
        <f t="shared" si="75"/>
        <v>0.9825</v>
      </c>
      <c r="P102" s="348"/>
      <c r="Q102" s="348"/>
      <c r="R102" s="348"/>
      <c r="S102" s="352"/>
      <c r="T102" s="348">
        <f t="shared" si="76"/>
        <v>1.179</v>
      </c>
      <c r="U102" s="348"/>
      <c r="V102" s="348"/>
      <c r="W102" s="348">
        <v>0.15</v>
      </c>
      <c r="X102" s="348">
        <f t="shared" si="81"/>
        <v>0.8842500000000001</v>
      </c>
      <c r="Y102" s="353">
        <f t="shared" si="79"/>
        <v>175058610.00000003</v>
      </c>
      <c r="Z102" s="319"/>
      <c r="AA102" s="317">
        <f t="shared" si="90"/>
        <v>10.678</v>
      </c>
      <c r="AB102" s="356">
        <v>4.32</v>
      </c>
      <c r="AC102" s="317">
        <f t="shared" si="84"/>
        <v>5.386000000000001</v>
      </c>
      <c r="AD102" s="317">
        <v>0.7</v>
      </c>
      <c r="AE102" s="357"/>
      <c r="AF102" s="317"/>
      <c r="AG102" s="317">
        <f t="shared" si="85"/>
        <v>2.16</v>
      </c>
      <c r="AH102" s="317"/>
      <c r="AI102" s="317"/>
      <c r="AJ102" s="317"/>
      <c r="AK102" s="358">
        <f t="shared" si="86"/>
        <v>1.08</v>
      </c>
      <c r="AL102" s="317"/>
      <c r="AM102" s="317"/>
      <c r="AN102" s="317"/>
      <c r="AO102" s="320"/>
      <c r="AP102" s="317">
        <f t="shared" si="87"/>
        <v>1.296</v>
      </c>
      <c r="AQ102" s="319"/>
      <c r="AR102" s="317">
        <v>0.15</v>
      </c>
      <c r="AS102" s="443">
        <f t="shared" si="88"/>
        <v>0.9720000000000001</v>
      </c>
      <c r="AT102" s="285">
        <f t="shared" si="89"/>
        <v>190922640.00000003</v>
      </c>
      <c r="AU102" s="17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</row>
    <row r="103" spans="1:75" ht="15.75">
      <c r="A103" s="347">
        <v>14</v>
      </c>
      <c r="B103" s="9" t="s">
        <v>102</v>
      </c>
      <c r="C103" s="418"/>
      <c r="D103" s="418"/>
      <c r="E103" s="348">
        <f t="shared" si="77"/>
        <v>6.924249999999999</v>
      </c>
      <c r="F103" s="349">
        <v>2.67</v>
      </c>
      <c r="G103" s="348">
        <f t="shared" si="78"/>
        <v>3.6534999999999997</v>
      </c>
      <c r="H103" s="348">
        <v>0.7</v>
      </c>
      <c r="I103" s="350"/>
      <c r="J103" s="348"/>
      <c r="K103" s="348">
        <f t="shared" si="74"/>
        <v>1.335</v>
      </c>
      <c r="L103" s="348"/>
      <c r="M103" s="348"/>
      <c r="N103" s="348"/>
      <c r="O103" s="351">
        <f t="shared" si="75"/>
        <v>0.6675</v>
      </c>
      <c r="P103" s="348"/>
      <c r="Q103" s="348"/>
      <c r="R103" s="348"/>
      <c r="S103" s="352"/>
      <c r="T103" s="348">
        <f t="shared" si="76"/>
        <v>0.8009999999999999</v>
      </c>
      <c r="U103" s="348"/>
      <c r="V103" s="348"/>
      <c r="W103" s="348">
        <v>0.15</v>
      </c>
      <c r="X103" s="348">
        <f t="shared" si="81"/>
        <v>0.60075</v>
      </c>
      <c r="Y103" s="353">
        <f t="shared" si="79"/>
        <v>123805589.99999997</v>
      </c>
      <c r="Z103" s="319"/>
      <c r="AA103" s="317">
        <f>AB103+AC103+AS103</f>
        <v>6.4464999999999995</v>
      </c>
      <c r="AB103" s="356">
        <v>2.46</v>
      </c>
      <c r="AC103" s="317">
        <f t="shared" si="84"/>
        <v>3.433</v>
      </c>
      <c r="AD103" s="317">
        <v>0.7</v>
      </c>
      <c r="AE103" s="357"/>
      <c r="AF103" s="317"/>
      <c r="AG103" s="317">
        <f t="shared" si="85"/>
        <v>1.23</v>
      </c>
      <c r="AH103" s="317"/>
      <c r="AI103" s="317"/>
      <c r="AJ103" s="317"/>
      <c r="AK103" s="358">
        <f t="shared" si="86"/>
        <v>0.615</v>
      </c>
      <c r="AL103" s="317"/>
      <c r="AM103" s="317"/>
      <c r="AN103" s="317"/>
      <c r="AO103" s="320"/>
      <c r="AP103" s="317">
        <f t="shared" si="87"/>
        <v>0.738</v>
      </c>
      <c r="AQ103" s="319"/>
      <c r="AR103" s="317">
        <v>0.15</v>
      </c>
      <c r="AS103" s="443">
        <f t="shared" si="88"/>
        <v>0.5535</v>
      </c>
      <c r="AT103" s="285">
        <f t="shared" si="89"/>
        <v>115263420</v>
      </c>
      <c r="AU103" s="17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</row>
    <row r="104" spans="1:75" ht="15.75">
      <c r="A104" s="347">
        <v>15</v>
      </c>
      <c r="B104" s="9" t="s">
        <v>50</v>
      </c>
      <c r="C104" s="418"/>
      <c r="D104" s="418"/>
      <c r="E104" s="348">
        <f t="shared" si="77"/>
        <v>10.60975</v>
      </c>
      <c r="F104" s="349">
        <v>3.99</v>
      </c>
      <c r="G104" s="348">
        <f t="shared" si="78"/>
        <v>5.6545000000000005</v>
      </c>
      <c r="H104" s="348">
        <v>0.7</v>
      </c>
      <c r="I104" s="350">
        <v>0.3</v>
      </c>
      <c r="J104" s="348"/>
      <c r="K104" s="348">
        <f t="shared" si="74"/>
        <v>2.145</v>
      </c>
      <c r="L104" s="348"/>
      <c r="M104" s="348"/>
      <c r="N104" s="348"/>
      <c r="O104" s="351">
        <f t="shared" si="75"/>
        <v>1.0725</v>
      </c>
      <c r="P104" s="348"/>
      <c r="Q104" s="348"/>
      <c r="R104" s="348"/>
      <c r="S104" s="352"/>
      <c r="T104" s="348">
        <f t="shared" si="76"/>
        <v>1.287</v>
      </c>
      <c r="U104" s="348"/>
      <c r="V104" s="348"/>
      <c r="W104" s="348">
        <v>0.15</v>
      </c>
      <c r="X104" s="348">
        <f t="shared" si="81"/>
        <v>0.96525</v>
      </c>
      <c r="Y104" s="353">
        <f t="shared" si="79"/>
        <v>189702330</v>
      </c>
      <c r="Z104" s="319"/>
      <c r="AA104" s="317">
        <f t="shared" si="90"/>
        <v>13.772</v>
      </c>
      <c r="AB104" s="356">
        <v>5.08</v>
      </c>
      <c r="AC104" s="317">
        <f t="shared" si="84"/>
        <v>7.414</v>
      </c>
      <c r="AD104" s="317">
        <v>0.7</v>
      </c>
      <c r="AE104" s="357">
        <v>0.6</v>
      </c>
      <c r="AF104" s="317"/>
      <c r="AG104" s="317">
        <f t="shared" si="85"/>
        <v>2.84</v>
      </c>
      <c r="AH104" s="317"/>
      <c r="AI104" s="317"/>
      <c r="AJ104" s="317"/>
      <c r="AK104" s="358">
        <f t="shared" si="86"/>
        <v>1.42</v>
      </c>
      <c r="AL104" s="317"/>
      <c r="AM104" s="317"/>
      <c r="AN104" s="317"/>
      <c r="AO104" s="320"/>
      <c r="AP104" s="317">
        <f t="shared" si="87"/>
        <v>1.704</v>
      </c>
      <c r="AQ104" s="319"/>
      <c r="AR104" s="317">
        <v>0.15</v>
      </c>
      <c r="AS104" s="443">
        <f t="shared" si="88"/>
        <v>1.278</v>
      </c>
      <c r="AT104" s="285">
        <f t="shared" si="89"/>
        <v>246243360</v>
      </c>
      <c r="AU104" s="17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</row>
    <row r="105" spans="1:75" ht="15.75">
      <c r="A105" s="347">
        <v>16</v>
      </c>
      <c r="B105" s="9" t="s">
        <v>23</v>
      </c>
      <c r="C105" s="418"/>
      <c r="D105" s="418"/>
      <c r="E105" s="348">
        <f t="shared" si="77"/>
        <v>11.883750000000001</v>
      </c>
      <c r="F105" s="349">
        <v>4.65</v>
      </c>
      <c r="G105" s="348">
        <f t="shared" si="78"/>
        <v>6.142500000000001</v>
      </c>
      <c r="H105" s="348">
        <v>0.7</v>
      </c>
      <c r="I105" s="350">
        <v>0.2</v>
      </c>
      <c r="J105" s="348"/>
      <c r="K105" s="348">
        <f t="shared" si="74"/>
        <v>2.4250000000000003</v>
      </c>
      <c r="L105" s="348"/>
      <c r="M105" s="348"/>
      <c r="N105" s="348"/>
      <c r="O105" s="351">
        <f t="shared" si="75"/>
        <v>1.2125000000000001</v>
      </c>
      <c r="P105" s="348"/>
      <c r="Q105" s="348"/>
      <c r="R105" s="348"/>
      <c r="S105" s="352"/>
      <c r="T105" s="348">
        <f t="shared" si="76"/>
        <v>1.455</v>
      </c>
      <c r="U105" s="348"/>
      <c r="V105" s="348"/>
      <c r="W105" s="348">
        <v>0.15</v>
      </c>
      <c r="X105" s="348">
        <f t="shared" si="81"/>
        <v>1.09125</v>
      </c>
      <c r="Y105" s="353">
        <f t="shared" si="79"/>
        <v>212481450</v>
      </c>
      <c r="Z105" s="319"/>
      <c r="AA105" s="317">
        <f t="shared" si="90"/>
        <v>10.58225</v>
      </c>
      <c r="AB105" s="356">
        <v>3.99</v>
      </c>
      <c r="AC105" s="317">
        <f t="shared" si="84"/>
        <v>5.6495</v>
      </c>
      <c r="AD105" s="317">
        <v>0.7</v>
      </c>
      <c r="AE105" s="357">
        <v>0.2</v>
      </c>
      <c r="AF105" s="317"/>
      <c r="AG105" s="317">
        <f t="shared" si="85"/>
        <v>2.095</v>
      </c>
      <c r="AH105" s="317"/>
      <c r="AI105" s="317"/>
      <c r="AJ105" s="317"/>
      <c r="AK105" s="358">
        <f t="shared" si="86"/>
        <v>1.0475</v>
      </c>
      <c r="AL105" s="317"/>
      <c r="AM105" s="317"/>
      <c r="AN105" s="317"/>
      <c r="AO105" s="320"/>
      <c r="AP105" s="317">
        <f t="shared" si="87"/>
        <v>1.2570000000000001</v>
      </c>
      <c r="AQ105" s="319"/>
      <c r="AR105" s="317">
        <f>0.15+0.2</f>
        <v>0.35</v>
      </c>
      <c r="AS105" s="443">
        <f t="shared" si="88"/>
        <v>0.9427500000000001</v>
      </c>
      <c r="AT105" s="285"/>
      <c r="AU105" s="17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</row>
    <row r="106" spans="1:75" ht="15.75">
      <c r="A106" s="347">
        <v>17</v>
      </c>
      <c r="B106" s="9" t="s">
        <v>101</v>
      </c>
      <c r="C106" s="418"/>
      <c r="D106" s="418"/>
      <c r="E106" s="348">
        <f t="shared" si="77"/>
        <v>8.88075</v>
      </c>
      <c r="F106" s="349">
        <v>3.33</v>
      </c>
      <c r="G106" s="348">
        <f t="shared" si="78"/>
        <v>4.756500000000001</v>
      </c>
      <c r="H106" s="348">
        <v>0.7</v>
      </c>
      <c r="I106" s="348">
        <v>0.2</v>
      </c>
      <c r="J106" s="348"/>
      <c r="K106" s="348">
        <f t="shared" si="74"/>
        <v>1.7650000000000001</v>
      </c>
      <c r="L106" s="348"/>
      <c r="M106" s="348"/>
      <c r="N106" s="348"/>
      <c r="O106" s="351">
        <f t="shared" si="75"/>
        <v>0.8825000000000001</v>
      </c>
      <c r="P106" s="348"/>
      <c r="Q106" s="348"/>
      <c r="R106" s="348"/>
      <c r="S106" s="352"/>
      <c r="T106" s="348">
        <f t="shared" si="76"/>
        <v>1.059</v>
      </c>
      <c r="U106" s="348"/>
      <c r="V106" s="348"/>
      <c r="W106" s="348">
        <v>0.15</v>
      </c>
      <c r="X106" s="348">
        <f t="shared" si="81"/>
        <v>0.7942500000000001</v>
      </c>
      <c r="Y106" s="353">
        <f t="shared" si="79"/>
        <v>158787810.00000003</v>
      </c>
      <c r="Z106" s="319"/>
      <c r="AA106" s="317">
        <f>AB106+AC106+AS106</f>
        <v>2.8665</v>
      </c>
      <c r="AB106" s="356">
        <v>2.34</v>
      </c>
      <c r="AC106" s="317">
        <f t="shared" si="84"/>
        <v>0</v>
      </c>
      <c r="AD106" s="317"/>
      <c r="AE106" s="357"/>
      <c r="AF106" s="317"/>
      <c r="AG106" s="317"/>
      <c r="AH106" s="317"/>
      <c r="AI106" s="317"/>
      <c r="AJ106" s="317"/>
      <c r="AK106" s="358"/>
      <c r="AL106" s="317"/>
      <c r="AM106" s="317"/>
      <c r="AN106" s="317"/>
      <c r="AO106" s="320"/>
      <c r="AP106" s="317"/>
      <c r="AQ106" s="319"/>
      <c r="AR106" s="317"/>
      <c r="AS106" s="443">
        <f t="shared" si="88"/>
        <v>0.5265</v>
      </c>
      <c r="AT106" s="285">
        <f>AA106*12*1490000</f>
        <v>51253019.99999999</v>
      </c>
      <c r="AU106" s="17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</row>
    <row r="107" spans="1:75" ht="15.75">
      <c r="A107" s="347">
        <v>18</v>
      </c>
      <c r="B107" s="9" t="s">
        <v>100</v>
      </c>
      <c r="C107" s="418"/>
      <c r="D107" s="418"/>
      <c r="E107" s="348">
        <f t="shared" si="77"/>
        <v>10.56425</v>
      </c>
      <c r="F107" s="349">
        <v>4.27</v>
      </c>
      <c r="G107" s="348">
        <f t="shared" si="78"/>
        <v>5.3335</v>
      </c>
      <c r="H107" s="348">
        <v>0.7</v>
      </c>
      <c r="I107" s="348"/>
      <c r="J107" s="348"/>
      <c r="K107" s="348">
        <f t="shared" si="74"/>
        <v>2.135</v>
      </c>
      <c r="L107" s="348"/>
      <c r="M107" s="348"/>
      <c r="N107" s="348"/>
      <c r="O107" s="351">
        <f t="shared" si="75"/>
        <v>1.0675</v>
      </c>
      <c r="P107" s="348"/>
      <c r="Q107" s="348"/>
      <c r="R107" s="348"/>
      <c r="S107" s="352"/>
      <c r="T107" s="348">
        <f t="shared" si="76"/>
        <v>1.281</v>
      </c>
      <c r="U107" s="348"/>
      <c r="V107" s="348"/>
      <c r="W107" s="348">
        <v>0.15</v>
      </c>
      <c r="X107" s="348">
        <f t="shared" si="81"/>
        <v>0.9607499999999999</v>
      </c>
      <c r="Y107" s="353">
        <f t="shared" si="79"/>
        <v>188888790</v>
      </c>
      <c r="Z107" s="314"/>
      <c r="AA107" s="317">
        <f t="shared" si="90"/>
        <v>9.631500000000003</v>
      </c>
      <c r="AB107" s="356">
        <v>3.66</v>
      </c>
      <c r="AC107" s="317">
        <f t="shared" si="84"/>
        <v>5.103000000000001</v>
      </c>
      <c r="AD107" s="317">
        <v>0.7</v>
      </c>
      <c r="AE107" s="357">
        <v>0.2</v>
      </c>
      <c r="AF107" s="317"/>
      <c r="AG107" s="317">
        <f t="shared" si="85"/>
        <v>1.9300000000000002</v>
      </c>
      <c r="AH107" s="317"/>
      <c r="AI107" s="317"/>
      <c r="AJ107" s="317"/>
      <c r="AK107" s="358">
        <f t="shared" si="86"/>
        <v>0.9650000000000001</v>
      </c>
      <c r="AL107" s="317"/>
      <c r="AM107" s="317"/>
      <c r="AN107" s="317"/>
      <c r="AO107" s="320"/>
      <c r="AP107" s="317">
        <f t="shared" si="87"/>
        <v>1.1580000000000001</v>
      </c>
      <c r="AQ107" s="314"/>
      <c r="AR107" s="317">
        <v>0.15</v>
      </c>
      <c r="AS107" s="443">
        <f t="shared" si="88"/>
        <v>0.8685</v>
      </c>
      <c r="AT107" s="285">
        <f t="shared" si="89"/>
        <v>172211220.00000006</v>
      </c>
      <c r="AU107" s="17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</row>
    <row r="108" spans="1:75" ht="15.75">
      <c r="A108" s="347">
        <v>19</v>
      </c>
      <c r="B108" s="9" t="s">
        <v>99</v>
      </c>
      <c r="C108" s="418"/>
      <c r="D108" s="418"/>
      <c r="E108" s="348">
        <f t="shared" si="77"/>
        <v>8.88075</v>
      </c>
      <c r="F108" s="349">
        <v>3.33</v>
      </c>
      <c r="G108" s="348">
        <f t="shared" si="78"/>
        <v>4.756500000000001</v>
      </c>
      <c r="H108" s="348">
        <v>0.7</v>
      </c>
      <c r="I108" s="348">
        <v>0.2</v>
      </c>
      <c r="J108" s="348"/>
      <c r="K108" s="348">
        <f t="shared" si="74"/>
        <v>1.7650000000000001</v>
      </c>
      <c r="L108" s="348"/>
      <c r="M108" s="348"/>
      <c r="N108" s="348"/>
      <c r="O108" s="351">
        <f t="shared" si="75"/>
        <v>0.8825000000000001</v>
      </c>
      <c r="P108" s="348"/>
      <c r="Q108" s="348"/>
      <c r="R108" s="348"/>
      <c r="S108" s="352"/>
      <c r="T108" s="348">
        <f t="shared" si="76"/>
        <v>1.059</v>
      </c>
      <c r="U108" s="348"/>
      <c r="V108" s="348"/>
      <c r="W108" s="348">
        <v>0.15</v>
      </c>
      <c r="X108" s="348">
        <f t="shared" si="81"/>
        <v>0.7942500000000001</v>
      </c>
      <c r="Y108" s="353">
        <f t="shared" si="79"/>
        <v>158787810.00000003</v>
      </c>
      <c r="Z108" s="319"/>
      <c r="AA108" s="317">
        <f t="shared" si="90"/>
        <v>10.496000000000002</v>
      </c>
      <c r="AB108" s="356">
        <v>3.99</v>
      </c>
      <c r="AC108" s="317">
        <f t="shared" si="84"/>
        <v>5.552000000000001</v>
      </c>
      <c r="AD108" s="317">
        <v>0.7</v>
      </c>
      <c r="AE108" s="357">
        <v>0.25</v>
      </c>
      <c r="AF108" s="317"/>
      <c r="AG108" s="317">
        <f t="shared" si="85"/>
        <v>2.12</v>
      </c>
      <c r="AH108" s="317"/>
      <c r="AI108" s="317"/>
      <c r="AJ108" s="317"/>
      <c r="AK108" s="358">
        <f t="shared" si="86"/>
        <v>1.06</v>
      </c>
      <c r="AL108" s="317"/>
      <c r="AM108" s="317"/>
      <c r="AN108" s="317"/>
      <c r="AO108" s="320"/>
      <c r="AP108" s="317">
        <f t="shared" si="87"/>
        <v>1.272</v>
      </c>
      <c r="AQ108" s="319"/>
      <c r="AR108" s="317">
        <v>0.15</v>
      </c>
      <c r="AS108" s="443">
        <f t="shared" si="88"/>
        <v>0.9540000000000001</v>
      </c>
      <c r="AT108" s="285">
        <f t="shared" si="89"/>
        <v>187668480.00000006</v>
      </c>
      <c r="AU108" s="17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</row>
    <row r="109" spans="1:75" ht="15.75">
      <c r="A109" s="347">
        <v>20</v>
      </c>
      <c r="B109" s="9" t="s">
        <v>98</v>
      </c>
      <c r="C109" s="418"/>
      <c r="D109" s="418"/>
      <c r="E109" s="348">
        <f t="shared" si="77"/>
        <v>8.13</v>
      </c>
      <c r="F109" s="349">
        <v>3</v>
      </c>
      <c r="G109" s="348">
        <f t="shared" si="78"/>
        <v>4.41</v>
      </c>
      <c r="H109" s="348">
        <v>0.7</v>
      </c>
      <c r="I109" s="348">
        <v>0.2</v>
      </c>
      <c r="J109" s="348"/>
      <c r="K109" s="348">
        <f t="shared" si="74"/>
        <v>1.6</v>
      </c>
      <c r="L109" s="348"/>
      <c r="M109" s="348"/>
      <c r="N109" s="348"/>
      <c r="O109" s="351">
        <f t="shared" si="75"/>
        <v>0.8</v>
      </c>
      <c r="P109" s="348"/>
      <c r="Q109" s="348"/>
      <c r="R109" s="348"/>
      <c r="S109" s="352"/>
      <c r="T109" s="348">
        <f t="shared" si="76"/>
        <v>0.96</v>
      </c>
      <c r="U109" s="348"/>
      <c r="V109" s="348"/>
      <c r="W109" s="348">
        <v>0.15</v>
      </c>
      <c r="X109" s="348">
        <f t="shared" si="81"/>
        <v>0.7200000000000001</v>
      </c>
      <c r="Y109" s="353">
        <f t="shared" si="79"/>
        <v>145364400.00000003</v>
      </c>
      <c r="Z109" s="319"/>
      <c r="AA109" s="317">
        <f t="shared" si="90"/>
        <v>9.790750000000001</v>
      </c>
      <c r="AB109" s="356">
        <v>3.33</v>
      </c>
      <c r="AC109" s="317">
        <f t="shared" si="84"/>
        <v>5.5765</v>
      </c>
      <c r="AD109" s="317">
        <v>0.7</v>
      </c>
      <c r="AE109" s="357">
        <v>0.6</v>
      </c>
      <c r="AF109" s="317"/>
      <c r="AG109" s="317">
        <f t="shared" si="85"/>
        <v>1.965</v>
      </c>
      <c r="AH109" s="317"/>
      <c r="AI109" s="317"/>
      <c r="AJ109" s="317"/>
      <c r="AK109" s="358">
        <f t="shared" si="86"/>
        <v>0.9825</v>
      </c>
      <c r="AL109" s="317"/>
      <c r="AM109" s="317"/>
      <c r="AN109" s="317"/>
      <c r="AO109" s="320"/>
      <c r="AP109" s="317">
        <f t="shared" si="87"/>
        <v>1.179</v>
      </c>
      <c r="AQ109" s="319"/>
      <c r="AR109" s="317">
        <v>0.15</v>
      </c>
      <c r="AS109" s="443">
        <f t="shared" si="88"/>
        <v>0.8842500000000001</v>
      </c>
      <c r="AT109" s="285">
        <f t="shared" si="89"/>
        <v>175058610.00000003</v>
      </c>
      <c r="AU109" s="17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</row>
    <row r="110" spans="1:75" ht="15.75">
      <c r="A110" s="347">
        <v>21</v>
      </c>
      <c r="B110" s="9" t="s">
        <v>97</v>
      </c>
      <c r="C110" s="418"/>
      <c r="D110" s="418"/>
      <c r="E110" s="348">
        <f t="shared" si="77"/>
        <v>7.12425</v>
      </c>
      <c r="F110" s="349">
        <v>2.67</v>
      </c>
      <c r="G110" s="348">
        <f t="shared" si="78"/>
        <v>3.8535</v>
      </c>
      <c r="H110" s="348">
        <v>0.7</v>
      </c>
      <c r="I110" s="348"/>
      <c r="J110" s="348"/>
      <c r="K110" s="348">
        <f t="shared" si="74"/>
        <v>1.335</v>
      </c>
      <c r="L110" s="348"/>
      <c r="M110" s="348"/>
      <c r="N110" s="348"/>
      <c r="O110" s="351">
        <f t="shared" si="75"/>
        <v>0.6675</v>
      </c>
      <c r="P110" s="348"/>
      <c r="Q110" s="348"/>
      <c r="R110" s="348"/>
      <c r="S110" s="352"/>
      <c r="T110" s="348">
        <f t="shared" si="76"/>
        <v>0.8009999999999999</v>
      </c>
      <c r="U110" s="348">
        <v>0.2</v>
      </c>
      <c r="V110" s="348"/>
      <c r="W110" s="348">
        <v>0.15</v>
      </c>
      <c r="X110" s="348">
        <f t="shared" si="81"/>
        <v>0.60075</v>
      </c>
      <c r="Y110" s="353">
        <f t="shared" si="79"/>
        <v>127381590</v>
      </c>
      <c r="Z110" s="314"/>
      <c r="AA110" s="317">
        <f t="shared" si="90"/>
        <v>6.924249999999999</v>
      </c>
      <c r="AB110" s="356">
        <v>2.67</v>
      </c>
      <c r="AC110" s="317">
        <f t="shared" si="84"/>
        <v>3.6534999999999997</v>
      </c>
      <c r="AD110" s="317">
        <v>0.7</v>
      </c>
      <c r="AE110" s="357"/>
      <c r="AF110" s="317"/>
      <c r="AG110" s="317">
        <f t="shared" si="85"/>
        <v>1.335</v>
      </c>
      <c r="AH110" s="317"/>
      <c r="AI110" s="317"/>
      <c r="AJ110" s="317"/>
      <c r="AK110" s="358">
        <f t="shared" si="86"/>
        <v>0.6675</v>
      </c>
      <c r="AL110" s="317"/>
      <c r="AM110" s="317"/>
      <c r="AN110" s="317"/>
      <c r="AO110" s="320"/>
      <c r="AP110" s="317">
        <f t="shared" si="87"/>
        <v>0.8009999999999999</v>
      </c>
      <c r="AQ110" s="314"/>
      <c r="AR110" s="317">
        <v>0.15</v>
      </c>
      <c r="AS110" s="443">
        <f t="shared" si="88"/>
        <v>0.60075</v>
      </c>
      <c r="AT110" s="285">
        <f t="shared" si="89"/>
        <v>123805589.99999997</v>
      </c>
      <c r="AU110" s="17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</row>
    <row r="111" spans="1:75" ht="15.75">
      <c r="A111" s="347">
        <v>22</v>
      </c>
      <c r="B111" s="9" t="s">
        <v>96</v>
      </c>
      <c r="C111" s="418"/>
      <c r="D111" s="418"/>
      <c r="E111" s="348">
        <f t="shared" si="77"/>
        <v>6.924249999999999</v>
      </c>
      <c r="F111" s="349">
        <v>2.67</v>
      </c>
      <c r="G111" s="348">
        <f t="shared" si="78"/>
        <v>3.6534999999999997</v>
      </c>
      <c r="H111" s="348">
        <v>0.7</v>
      </c>
      <c r="I111" s="348"/>
      <c r="J111" s="348"/>
      <c r="K111" s="348">
        <f t="shared" si="74"/>
        <v>1.335</v>
      </c>
      <c r="L111" s="348"/>
      <c r="M111" s="348"/>
      <c r="N111" s="348"/>
      <c r="O111" s="351">
        <f t="shared" si="75"/>
        <v>0.6675</v>
      </c>
      <c r="P111" s="348"/>
      <c r="Q111" s="348"/>
      <c r="R111" s="348"/>
      <c r="S111" s="352"/>
      <c r="T111" s="348">
        <f t="shared" si="76"/>
        <v>0.8009999999999999</v>
      </c>
      <c r="U111" s="348"/>
      <c r="V111" s="348"/>
      <c r="W111" s="348">
        <v>0.15</v>
      </c>
      <c r="X111" s="348">
        <f t="shared" si="81"/>
        <v>0.60075</v>
      </c>
      <c r="Y111" s="353">
        <f t="shared" si="79"/>
        <v>123805589.99999997</v>
      </c>
      <c r="Z111" s="314"/>
      <c r="AA111" s="317">
        <f t="shared" si="90"/>
        <v>10.60975</v>
      </c>
      <c r="AB111" s="356">
        <v>3.99</v>
      </c>
      <c r="AC111" s="317">
        <f t="shared" si="84"/>
        <v>5.6545000000000005</v>
      </c>
      <c r="AD111" s="317">
        <v>0.7</v>
      </c>
      <c r="AE111" s="357">
        <v>0.3</v>
      </c>
      <c r="AF111" s="317"/>
      <c r="AG111" s="317">
        <f t="shared" si="85"/>
        <v>2.145</v>
      </c>
      <c r="AH111" s="317"/>
      <c r="AI111" s="317"/>
      <c r="AJ111" s="317"/>
      <c r="AK111" s="358">
        <f t="shared" si="86"/>
        <v>1.0725</v>
      </c>
      <c r="AL111" s="317"/>
      <c r="AM111" s="317"/>
      <c r="AN111" s="317"/>
      <c r="AO111" s="320"/>
      <c r="AP111" s="317">
        <f t="shared" si="87"/>
        <v>1.287</v>
      </c>
      <c r="AQ111" s="314"/>
      <c r="AR111" s="317">
        <v>0.15</v>
      </c>
      <c r="AS111" s="443">
        <f t="shared" si="88"/>
        <v>0.96525</v>
      </c>
      <c r="AT111" s="285">
        <f t="shared" si="89"/>
        <v>189702330</v>
      </c>
      <c r="AU111" s="17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</row>
    <row r="112" spans="1:75" ht="15.75">
      <c r="A112" s="347">
        <v>23</v>
      </c>
      <c r="B112" s="9" t="s">
        <v>95</v>
      </c>
      <c r="C112" s="418"/>
      <c r="D112" s="418"/>
      <c r="E112" s="348">
        <f t="shared" si="77"/>
        <v>6.924249999999999</v>
      </c>
      <c r="F112" s="349">
        <v>2.67</v>
      </c>
      <c r="G112" s="348">
        <f t="shared" si="78"/>
        <v>3.6534999999999997</v>
      </c>
      <c r="H112" s="348">
        <v>0.7</v>
      </c>
      <c r="I112" s="348"/>
      <c r="J112" s="348"/>
      <c r="K112" s="348">
        <f t="shared" si="74"/>
        <v>1.335</v>
      </c>
      <c r="L112" s="348"/>
      <c r="M112" s="348"/>
      <c r="N112" s="348"/>
      <c r="O112" s="351">
        <f t="shared" si="75"/>
        <v>0.6675</v>
      </c>
      <c r="P112" s="348"/>
      <c r="Q112" s="348"/>
      <c r="R112" s="348"/>
      <c r="S112" s="352"/>
      <c r="T112" s="348">
        <f t="shared" si="76"/>
        <v>0.8009999999999999</v>
      </c>
      <c r="U112" s="348"/>
      <c r="V112" s="348"/>
      <c r="W112" s="348">
        <v>0.15</v>
      </c>
      <c r="X112" s="348">
        <f t="shared" si="81"/>
        <v>0.60075</v>
      </c>
      <c r="Y112" s="353">
        <f t="shared" si="79"/>
        <v>123805589.99999997</v>
      </c>
      <c r="Z112" s="355"/>
      <c r="AA112" s="317">
        <f t="shared" si="90"/>
        <v>11.883750000000001</v>
      </c>
      <c r="AB112" s="356">
        <v>4.65</v>
      </c>
      <c r="AC112" s="317">
        <f t="shared" si="84"/>
        <v>6.142500000000001</v>
      </c>
      <c r="AD112" s="317">
        <v>0.7</v>
      </c>
      <c r="AE112" s="357">
        <v>0.2</v>
      </c>
      <c r="AF112" s="317"/>
      <c r="AG112" s="317">
        <f t="shared" si="85"/>
        <v>2.4250000000000003</v>
      </c>
      <c r="AH112" s="317"/>
      <c r="AI112" s="317"/>
      <c r="AJ112" s="317"/>
      <c r="AK112" s="358">
        <f t="shared" si="86"/>
        <v>1.2125000000000001</v>
      </c>
      <c r="AL112" s="317"/>
      <c r="AM112" s="317"/>
      <c r="AN112" s="317"/>
      <c r="AO112" s="320"/>
      <c r="AP112" s="317">
        <f t="shared" si="87"/>
        <v>1.455</v>
      </c>
      <c r="AQ112" s="314"/>
      <c r="AR112" s="317">
        <v>0.15</v>
      </c>
      <c r="AS112" s="443">
        <f t="shared" si="88"/>
        <v>1.09125</v>
      </c>
      <c r="AT112" s="285">
        <f t="shared" si="89"/>
        <v>212481450</v>
      </c>
      <c r="AU112" s="17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</row>
    <row r="113" spans="1:75" ht="15.75">
      <c r="A113" s="347">
        <v>24</v>
      </c>
      <c r="B113" s="9" t="s">
        <v>94</v>
      </c>
      <c r="C113" s="418"/>
      <c r="D113" s="418"/>
      <c r="E113" s="348">
        <f t="shared" si="77"/>
        <v>6.173500000000001</v>
      </c>
      <c r="F113" s="349">
        <v>2.34</v>
      </c>
      <c r="G113" s="348">
        <f t="shared" si="78"/>
        <v>3.307</v>
      </c>
      <c r="H113" s="348">
        <v>0.7</v>
      </c>
      <c r="I113" s="348"/>
      <c r="J113" s="348"/>
      <c r="K113" s="348">
        <f t="shared" si="74"/>
        <v>1.17</v>
      </c>
      <c r="L113" s="348"/>
      <c r="M113" s="348"/>
      <c r="N113" s="348"/>
      <c r="O113" s="351">
        <f t="shared" si="75"/>
        <v>0.585</v>
      </c>
      <c r="P113" s="348"/>
      <c r="Q113" s="348"/>
      <c r="R113" s="348"/>
      <c r="S113" s="352"/>
      <c r="T113" s="348">
        <f t="shared" si="76"/>
        <v>0.702</v>
      </c>
      <c r="U113" s="348"/>
      <c r="V113" s="348"/>
      <c r="W113" s="348">
        <v>0.15</v>
      </c>
      <c r="X113" s="348">
        <f t="shared" si="81"/>
        <v>0.5265</v>
      </c>
      <c r="Y113" s="353">
        <f t="shared" si="79"/>
        <v>110382180.00000003</v>
      </c>
      <c r="Z113" s="355"/>
      <c r="AA113" s="317">
        <f t="shared" si="90"/>
        <v>8.88075</v>
      </c>
      <c r="AB113" s="356">
        <v>3.33</v>
      </c>
      <c r="AC113" s="317">
        <f t="shared" si="84"/>
        <v>4.756500000000001</v>
      </c>
      <c r="AD113" s="317">
        <v>0.7</v>
      </c>
      <c r="AE113" s="317">
        <v>0.2</v>
      </c>
      <c r="AF113" s="317"/>
      <c r="AG113" s="317">
        <f t="shared" si="85"/>
        <v>1.7650000000000001</v>
      </c>
      <c r="AH113" s="317"/>
      <c r="AI113" s="317"/>
      <c r="AJ113" s="317"/>
      <c r="AK113" s="358">
        <f t="shared" si="86"/>
        <v>0.8825000000000001</v>
      </c>
      <c r="AL113" s="317"/>
      <c r="AM113" s="317"/>
      <c r="AN113" s="317"/>
      <c r="AO113" s="320"/>
      <c r="AP113" s="317">
        <f t="shared" si="87"/>
        <v>1.059</v>
      </c>
      <c r="AQ113" s="319"/>
      <c r="AR113" s="317">
        <v>0.15</v>
      </c>
      <c r="AS113" s="443">
        <f t="shared" si="88"/>
        <v>0.7942500000000001</v>
      </c>
      <c r="AT113" s="285">
        <f t="shared" si="89"/>
        <v>158787810.00000003</v>
      </c>
      <c r="AU113" s="17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</row>
    <row r="114" spans="1:75" ht="15.75">
      <c r="A114" s="347">
        <v>25</v>
      </c>
      <c r="B114" s="9" t="s">
        <v>93</v>
      </c>
      <c r="C114" s="418"/>
      <c r="D114" s="418"/>
      <c r="E114" s="348">
        <f t="shared" si="77"/>
        <v>6.924249999999999</v>
      </c>
      <c r="F114" s="349">
        <v>2.67</v>
      </c>
      <c r="G114" s="348">
        <f t="shared" si="78"/>
        <v>3.6534999999999997</v>
      </c>
      <c r="H114" s="348">
        <v>0.7</v>
      </c>
      <c r="I114" s="348"/>
      <c r="J114" s="348"/>
      <c r="K114" s="348">
        <f t="shared" si="74"/>
        <v>1.335</v>
      </c>
      <c r="L114" s="348"/>
      <c r="M114" s="348"/>
      <c r="N114" s="348"/>
      <c r="O114" s="351">
        <f t="shared" si="75"/>
        <v>0.6675</v>
      </c>
      <c r="P114" s="348"/>
      <c r="Q114" s="348"/>
      <c r="R114" s="348"/>
      <c r="S114" s="352"/>
      <c r="T114" s="348">
        <f t="shared" si="76"/>
        <v>0.8009999999999999</v>
      </c>
      <c r="U114" s="348"/>
      <c r="V114" s="348"/>
      <c r="W114" s="348">
        <v>0.15</v>
      </c>
      <c r="X114" s="348">
        <f t="shared" si="81"/>
        <v>0.60075</v>
      </c>
      <c r="Y114" s="353">
        <f t="shared" si="79"/>
        <v>123805589.99999997</v>
      </c>
      <c r="Z114" s="359"/>
      <c r="AA114" s="360">
        <f t="shared" si="90"/>
        <v>10.56425</v>
      </c>
      <c r="AB114" s="361">
        <v>4.27</v>
      </c>
      <c r="AC114" s="317">
        <f t="shared" si="84"/>
        <v>5.3335</v>
      </c>
      <c r="AD114" s="360">
        <v>0.7</v>
      </c>
      <c r="AE114" s="360"/>
      <c r="AF114" s="360"/>
      <c r="AG114" s="360">
        <f t="shared" si="85"/>
        <v>2.135</v>
      </c>
      <c r="AH114" s="360"/>
      <c r="AI114" s="360"/>
      <c r="AJ114" s="360"/>
      <c r="AK114" s="362">
        <f t="shared" si="86"/>
        <v>1.0675</v>
      </c>
      <c r="AL114" s="360"/>
      <c r="AM114" s="360"/>
      <c r="AN114" s="360"/>
      <c r="AO114" s="363"/>
      <c r="AP114" s="360">
        <f t="shared" si="87"/>
        <v>1.281</v>
      </c>
      <c r="AQ114" s="364"/>
      <c r="AR114" s="317">
        <v>0.15</v>
      </c>
      <c r="AS114" s="443">
        <f t="shared" si="88"/>
        <v>0.9607499999999999</v>
      </c>
      <c r="AT114" s="285">
        <f t="shared" si="89"/>
        <v>188888790</v>
      </c>
      <c r="AU114" s="17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</row>
    <row r="115" spans="1:75" ht="15.75">
      <c r="A115" s="347">
        <v>26</v>
      </c>
      <c r="B115" s="9" t="s">
        <v>92</v>
      </c>
      <c r="C115" s="418"/>
      <c r="D115" s="418"/>
      <c r="E115" s="348">
        <f t="shared" si="77"/>
        <v>6.041499999999999</v>
      </c>
      <c r="F115" s="349">
        <v>2.26</v>
      </c>
      <c r="G115" s="348">
        <f t="shared" si="78"/>
        <v>3.2729999999999992</v>
      </c>
      <c r="H115" s="348">
        <v>0.7</v>
      </c>
      <c r="I115" s="348"/>
      <c r="J115" s="348"/>
      <c r="K115" s="348">
        <f t="shared" si="74"/>
        <v>1.13</v>
      </c>
      <c r="L115" s="348"/>
      <c r="M115" s="348"/>
      <c r="N115" s="348"/>
      <c r="O115" s="351">
        <f t="shared" si="75"/>
        <v>0.565</v>
      </c>
      <c r="P115" s="348"/>
      <c r="Q115" s="348"/>
      <c r="R115" s="348"/>
      <c r="S115" s="352"/>
      <c r="T115" s="348">
        <f t="shared" si="76"/>
        <v>0.6779999999999999</v>
      </c>
      <c r="U115" s="348">
        <v>0.05</v>
      </c>
      <c r="V115" s="348"/>
      <c r="W115" s="348">
        <v>0.15</v>
      </c>
      <c r="X115" s="348">
        <f t="shared" si="81"/>
        <v>0.5085</v>
      </c>
      <c r="Y115" s="353">
        <f t="shared" si="79"/>
        <v>108022019.99999997</v>
      </c>
      <c r="Z115" s="365"/>
      <c r="AA115" s="317">
        <f t="shared" si="90"/>
        <v>8.88075</v>
      </c>
      <c r="AB115" s="356">
        <v>3.33</v>
      </c>
      <c r="AC115" s="317">
        <f t="shared" si="84"/>
        <v>4.756500000000001</v>
      </c>
      <c r="AD115" s="317">
        <v>0.7</v>
      </c>
      <c r="AE115" s="317">
        <v>0.2</v>
      </c>
      <c r="AF115" s="317"/>
      <c r="AG115" s="317">
        <f t="shared" si="85"/>
        <v>1.7650000000000001</v>
      </c>
      <c r="AH115" s="317"/>
      <c r="AI115" s="317"/>
      <c r="AJ115" s="317"/>
      <c r="AK115" s="358">
        <f t="shared" si="86"/>
        <v>0.8825000000000001</v>
      </c>
      <c r="AL115" s="317"/>
      <c r="AM115" s="317"/>
      <c r="AN115" s="317"/>
      <c r="AO115" s="320"/>
      <c r="AP115" s="317">
        <f t="shared" si="87"/>
        <v>1.059</v>
      </c>
      <c r="AQ115" s="365"/>
      <c r="AR115" s="317">
        <v>0.15</v>
      </c>
      <c r="AS115" s="443">
        <f t="shared" si="88"/>
        <v>0.7942500000000001</v>
      </c>
      <c r="AT115" s="285">
        <f t="shared" si="89"/>
        <v>158787810.00000003</v>
      </c>
      <c r="AU115" s="17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</row>
    <row r="116" spans="1:75" ht="15.75">
      <c r="A116" s="347">
        <v>27</v>
      </c>
      <c r="B116" s="366" t="s">
        <v>91</v>
      </c>
      <c r="C116" s="418"/>
      <c r="D116" s="418"/>
      <c r="E116" s="348">
        <f t="shared" si="77"/>
        <v>6.173500000000001</v>
      </c>
      <c r="F116" s="349">
        <v>2.34</v>
      </c>
      <c r="G116" s="348">
        <f t="shared" si="78"/>
        <v>3.307</v>
      </c>
      <c r="H116" s="348">
        <v>0.7</v>
      </c>
      <c r="I116" s="348"/>
      <c r="J116" s="348"/>
      <c r="K116" s="348">
        <f t="shared" si="74"/>
        <v>1.17</v>
      </c>
      <c r="L116" s="348"/>
      <c r="M116" s="348"/>
      <c r="N116" s="348"/>
      <c r="O116" s="351">
        <f t="shared" si="75"/>
        <v>0.585</v>
      </c>
      <c r="P116" s="348"/>
      <c r="Q116" s="348"/>
      <c r="R116" s="348"/>
      <c r="S116" s="352"/>
      <c r="T116" s="348">
        <f t="shared" si="76"/>
        <v>0.702</v>
      </c>
      <c r="U116" s="348"/>
      <c r="V116" s="348"/>
      <c r="W116" s="348">
        <v>0.15</v>
      </c>
      <c r="X116" s="348">
        <f t="shared" si="81"/>
        <v>0.5265</v>
      </c>
      <c r="Y116" s="353">
        <f t="shared" si="79"/>
        <v>110382180.00000003</v>
      </c>
      <c r="Z116" s="365"/>
      <c r="AA116" s="317">
        <f t="shared" si="90"/>
        <v>8.13</v>
      </c>
      <c r="AB116" s="356">
        <v>3</v>
      </c>
      <c r="AC116" s="317">
        <f t="shared" si="84"/>
        <v>4.41</v>
      </c>
      <c r="AD116" s="317">
        <v>0.7</v>
      </c>
      <c r="AE116" s="317">
        <v>0.2</v>
      </c>
      <c r="AF116" s="317"/>
      <c r="AG116" s="317">
        <f t="shared" si="85"/>
        <v>1.6</v>
      </c>
      <c r="AH116" s="317"/>
      <c r="AI116" s="317"/>
      <c r="AJ116" s="317"/>
      <c r="AK116" s="358">
        <f t="shared" si="86"/>
        <v>0.8</v>
      </c>
      <c r="AL116" s="317"/>
      <c r="AM116" s="317"/>
      <c r="AN116" s="317"/>
      <c r="AO116" s="320"/>
      <c r="AP116" s="317">
        <f t="shared" si="87"/>
        <v>0.96</v>
      </c>
      <c r="AQ116" s="340"/>
      <c r="AR116" s="317">
        <v>0.15</v>
      </c>
      <c r="AS116" s="443">
        <f t="shared" si="88"/>
        <v>0.7200000000000001</v>
      </c>
      <c r="AT116" s="285">
        <f t="shared" si="89"/>
        <v>145364400.00000003</v>
      </c>
      <c r="AU116" s="17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</row>
    <row r="117" spans="1:75" ht="15.75">
      <c r="A117" s="347">
        <v>28</v>
      </c>
      <c r="B117" s="366" t="s">
        <v>90</v>
      </c>
      <c r="C117" s="418"/>
      <c r="D117" s="418"/>
      <c r="E117" s="348">
        <f t="shared" si="77"/>
        <v>6.173500000000001</v>
      </c>
      <c r="F117" s="349">
        <v>2.34</v>
      </c>
      <c r="G117" s="348">
        <f t="shared" si="78"/>
        <v>3.307</v>
      </c>
      <c r="H117" s="348">
        <v>0.7</v>
      </c>
      <c r="I117" s="348"/>
      <c r="J117" s="348"/>
      <c r="K117" s="348">
        <f t="shared" si="74"/>
        <v>1.17</v>
      </c>
      <c r="L117" s="348"/>
      <c r="M117" s="348"/>
      <c r="N117" s="348"/>
      <c r="O117" s="351">
        <f t="shared" si="75"/>
        <v>0.585</v>
      </c>
      <c r="P117" s="348"/>
      <c r="Q117" s="348"/>
      <c r="R117" s="348"/>
      <c r="S117" s="352"/>
      <c r="T117" s="348">
        <f t="shared" si="76"/>
        <v>0.702</v>
      </c>
      <c r="U117" s="348"/>
      <c r="V117" s="348"/>
      <c r="W117" s="348">
        <v>0.15</v>
      </c>
      <c r="X117" s="348">
        <f t="shared" si="81"/>
        <v>0.5265</v>
      </c>
      <c r="Y117" s="353">
        <f t="shared" si="79"/>
        <v>110382180.00000003</v>
      </c>
      <c r="Z117" s="365"/>
      <c r="AA117" s="317">
        <f t="shared" si="90"/>
        <v>7.12425</v>
      </c>
      <c r="AB117" s="356">
        <v>2.67</v>
      </c>
      <c r="AC117" s="317">
        <f t="shared" si="84"/>
        <v>3.8535</v>
      </c>
      <c r="AD117" s="317">
        <v>0.7</v>
      </c>
      <c r="AE117" s="317"/>
      <c r="AF117" s="317"/>
      <c r="AG117" s="317">
        <f t="shared" si="85"/>
        <v>1.335</v>
      </c>
      <c r="AH117" s="317"/>
      <c r="AI117" s="317"/>
      <c r="AJ117" s="317"/>
      <c r="AK117" s="358">
        <f t="shared" si="86"/>
        <v>0.6675</v>
      </c>
      <c r="AL117" s="317"/>
      <c r="AM117" s="317"/>
      <c r="AN117" s="317"/>
      <c r="AO117" s="320"/>
      <c r="AP117" s="317">
        <f t="shared" si="87"/>
        <v>0.8009999999999999</v>
      </c>
      <c r="AQ117" s="340"/>
      <c r="AR117" s="317">
        <f>0.2+0.15</f>
        <v>0.35</v>
      </c>
      <c r="AS117" s="443">
        <f t="shared" si="88"/>
        <v>0.60075</v>
      </c>
      <c r="AT117" s="285">
        <f>AA117*1490000*12</f>
        <v>127381590</v>
      </c>
      <c r="AU117" s="17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</row>
    <row r="118" spans="1:75" ht="15.75">
      <c r="A118" s="347">
        <v>29</v>
      </c>
      <c r="B118" s="367" t="s">
        <v>89</v>
      </c>
      <c r="C118" s="419"/>
      <c r="D118" s="419"/>
      <c r="E118" s="348">
        <f t="shared" si="77"/>
        <v>6.924249999999999</v>
      </c>
      <c r="F118" s="352">
        <v>2.67</v>
      </c>
      <c r="G118" s="348">
        <f t="shared" si="78"/>
        <v>3.6534999999999997</v>
      </c>
      <c r="H118" s="348">
        <v>0.7</v>
      </c>
      <c r="I118" s="348"/>
      <c r="J118" s="348"/>
      <c r="K118" s="348">
        <f>(F118+I118)*50%</f>
        <v>1.335</v>
      </c>
      <c r="L118" s="348"/>
      <c r="M118" s="348"/>
      <c r="N118" s="348"/>
      <c r="O118" s="368">
        <f>(F118+I118)*25%</f>
        <v>0.6675</v>
      </c>
      <c r="P118" s="348"/>
      <c r="Q118" s="348"/>
      <c r="R118" s="348"/>
      <c r="S118" s="352"/>
      <c r="T118" s="348">
        <f t="shared" si="76"/>
        <v>0.8009999999999999</v>
      </c>
      <c r="U118" s="348"/>
      <c r="V118" s="348"/>
      <c r="W118" s="348">
        <v>0.15</v>
      </c>
      <c r="X118" s="348">
        <f>(F118+I118)*22.5%</f>
        <v>0.60075</v>
      </c>
      <c r="Y118" s="353">
        <f t="shared" si="79"/>
        <v>123805589.99999997</v>
      </c>
      <c r="Z118" s="365"/>
      <c r="AA118" s="317">
        <f t="shared" si="90"/>
        <v>6.924249999999999</v>
      </c>
      <c r="AB118" s="356">
        <v>2.67</v>
      </c>
      <c r="AC118" s="317">
        <f t="shared" si="84"/>
        <v>3.6534999999999997</v>
      </c>
      <c r="AD118" s="317">
        <v>0.7</v>
      </c>
      <c r="AE118" s="317"/>
      <c r="AF118" s="317"/>
      <c r="AG118" s="317">
        <f t="shared" si="85"/>
        <v>1.335</v>
      </c>
      <c r="AH118" s="317"/>
      <c r="AI118" s="317"/>
      <c r="AJ118" s="317"/>
      <c r="AK118" s="358">
        <f t="shared" si="86"/>
        <v>0.6675</v>
      </c>
      <c r="AL118" s="317"/>
      <c r="AM118" s="317"/>
      <c r="AN118" s="317"/>
      <c r="AO118" s="320"/>
      <c r="AP118" s="317">
        <f t="shared" si="87"/>
        <v>0.8009999999999999</v>
      </c>
      <c r="AQ118" s="340"/>
      <c r="AR118" s="317">
        <v>0.15</v>
      </c>
      <c r="AS118" s="443">
        <f t="shared" si="88"/>
        <v>0.60075</v>
      </c>
      <c r="AT118" s="285">
        <f t="shared" si="89"/>
        <v>123805589.99999997</v>
      </c>
      <c r="AU118" s="463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5.75">
      <c r="A119" s="347">
        <v>30</v>
      </c>
      <c r="B119" s="367" t="s">
        <v>88</v>
      </c>
      <c r="C119" s="419"/>
      <c r="D119" s="419"/>
      <c r="E119" s="348">
        <f t="shared" si="77"/>
        <v>6.9015</v>
      </c>
      <c r="F119" s="352">
        <v>2.66</v>
      </c>
      <c r="G119" s="348">
        <f t="shared" si="78"/>
        <v>3.6430000000000002</v>
      </c>
      <c r="H119" s="348">
        <v>0.7</v>
      </c>
      <c r="I119" s="348"/>
      <c r="J119" s="348"/>
      <c r="K119" s="348">
        <f>(F119+I119)*50%</f>
        <v>1.33</v>
      </c>
      <c r="L119" s="348"/>
      <c r="M119" s="348"/>
      <c r="N119" s="348"/>
      <c r="O119" s="368">
        <f>(F119+I119)*25%</f>
        <v>0.665</v>
      </c>
      <c r="P119" s="348"/>
      <c r="Q119" s="348"/>
      <c r="R119" s="348"/>
      <c r="S119" s="352"/>
      <c r="T119" s="348">
        <f t="shared" si="76"/>
        <v>0.798</v>
      </c>
      <c r="U119" s="348"/>
      <c r="V119" s="348"/>
      <c r="W119" s="348">
        <v>0.15</v>
      </c>
      <c r="X119" s="348">
        <f>(F119+I119)*22.5%</f>
        <v>0.5985</v>
      </c>
      <c r="Y119" s="353">
        <f>E119*1490000*12</f>
        <v>123398820</v>
      </c>
      <c r="Z119" s="365"/>
      <c r="AA119" s="317">
        <f t="shared" si="90"/>
        <v>6.924249999999999</v>
      </c>
      <c r="AB119" s="356">
        <v>2.67</v>
      </c>
      <c r="AC119" s="317">
        <f t="shared" si="84"/>
        <v>3.6534999999999997</v>
      </c>
      <c r="AD119" s="317">
        <v>0.7</v>
      </c>
      <c r="AE119" s="317"/>
      <c r="AF119" s="317"/>
      <c r="AG119" s="317">
        <f t="shared" si="85"/>
        <v>1.335</v>
      </c>
      <c r="AH119" s="317"/>
      <c r="AI119" s="317"/>
      <c r="AJ119" s="317"/>
      <c r="AK119" s="358">
        <f t="shared" si="86"/>
        <v>0.6675</v>
      </c>
      <c r="AL119" s="317"/>
      <c r="AM119" s="317"/>
      <c r="AN119" s="317"/>
      <c r="AO119" s="320"/>
      <c r="AP119" s="317">
        <f t="shared" si="87"/>
        <v>0.8009999999999999</v>
      </c>
      <c r="AQ119" s="340"/>
      <c r="AR119" s="317">
        <v>0.15</v>
      </c>
      <c r="AS119" s="443">
        <f t="shared" si="88"/>
        <v>0.60075</v>
      </c>
      <c r="AT119" s="285">
        <f t="shared" si="89"/>
        <v>123805589.99999997</v>
      </c>
      <c r="AU119" s="463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20" spans="1:75" ht="15.75">
      <c r="A120" s="347">
        <v>31</v>
      </c>
      <c r="B120" s="9" t="s">
        <v>87</v>
      </c>
      <c r="C120" s="418"/>
      <c r="D120" s="418"/>
      <c r="E120" s="348">
        <f>F120+G120+X120</f>
        <v>17.198999999999998</v>
      </c>
      <c r="F120" s="349">
        <f>6*2.34</f>
        <v>14.04</v>
      </c>
      <c r="G120" s="348">
        <f t="shared" si="78"/>
        <v>0</v>
      </c>
      <c r="H120" s="348"/>
      <c r="I120" s="348"/>
      <c r="J120" s="348"/>
      <c r="K120" s="348"/>
      <c r="L120" s="348"/>
      <c r="M120" s="348"/>
      <c r="N120" s="348"/>
      <c r="O120" s="351"/>
      <c r="P120" s="348"/>
      <c r="Q120" s="348"/>
      <c r="R120" s="348"/>
      <c r="S120" s="352"/>
      <c r="T120" s="348"/>
      <c r="U120" s="348"/>
      <c r="V120" s="348"/>
      <c r="W120" s="348"/>
      <c r="X120" s="348">
        <f>(F120+I120+J120)*22.5%</f>
        <v>3.159</v>
      </c>
      <c r="Y120" s="353">
        <f>E120*1490000*12</f>
        <v>307518119.99999994</v>
      </c>
      <c r="Z120" s="365"/>
      <c r="AA120" s="317">
        <f t="shared" si="90"/>
        <v>6.173500000000001</v>
      </c>
      <c r="AB120" s="356">
        <v>2.34</v>
      </c>
      <c r="AC120" s="317">
        <f t="shared" si="84"/>
        <v>3.307</v>
      </c>
      <c r="AD120" s="317">
        <v>0.7</v>
      </c>
      <c r="AE120" s="317"/>
      <c r="AF120" s="317"/>
      <c r="AG120" s="317">
        <f t="shared" si="85"/>
        <v>1.17</v>
      </c>
      <c r="AH120" s="317"/>
      <c r="AI120" s="317"/>
      <c r="AJ120" s="317"/>
      <c r="AK120" s="358">
        <f t="shared" si="86"/>
        <v>0.585</v>
      </c>
      <c r="AL120" s="317"/>
      <c r="AM120" s="317"/>
      <c r="AN120" s="317"/>
      <c r="AO120" s="320"/>
      <c r="AP120" s="317">
        <f t="shared" si="87"/>
        <v>0.702</v>
      </c>
      <c r="AQ120" s="340"/>
      <c r="AR120" s="317">
        <v>0.15</v>
      </c>
      <c r="AS120" s="443">
        <f t="shared" si="88"/>
        <v>0.5265</v>
      </c>
      <c r="AT120" s="285">
        <f t="shared" si="89"/>
        <v>110382180.00000003</v>
      </c>
      <c r="AU120" s="17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</row>
    <row r="121" spans="1:75" ht="15.75">
      <c r="A121" s="287" t="s">
        <v>86</v>
      </c>
      <c r="B121" s="288" t="s">
        <v>85</v>
      </c>
      <c r="C121" s="416"/>
      <c r="D121" s="416"/>
      <c r="E121" s="270">
        <f aca="true" t="shared" si="91" ref="E121:Y121">SUM(E122:E123)</f>
        <v>0</v>
      </c>
      <c r="F121" s="270">
        <f t="shared" si="91"/>
        <v>0</v>
      </c>
      <c r="G121" s="270">
        <f t="shared" si="91"/>
        <v>0</v>
      </c>
      <c r="H121" s="270">
        <f t="shared" si="91"/>
        <v>0</v>
      </c>
      <c r="I121" s="270">
        <f t="shared" si="91"/>
        <v>0</v>
      </c>
      <c r="J121" s="270">
        <f t="shared" si="91"/>
        <v>0</v>
      </c>
      <c r="K121" s="270">
        <f t="shared" si="91"/>
        <v>0</v>
      </c>
      <c r="L121" s="270">
        <f t="shared" si="91"/>
        <v>0</v>
      </c>
      <c r="M121" s="270">
        <f t="shared" si="91"/>
        <v>0</v>
      </c>
      <c r="N121" s="270">
        <f t="shared" si="91"/>
        <v>0</v>
      </c>
      <c r="O121" s="270">
        <f t="shared" si="91"/>
        <v>0</v>
      </c>
      <c r="P121" s="270">
        <f t="shared" si="91"/>
        <v>0</v>
      </c>
      <c r="Q121" s="270">
        <f t="shared" si="91"/>
        <v>0</v>
      </c>
      <c r="R121" s="270">
        <f t="shared" si="91"/>
        <v>0</v>
      </c>
      <c r="S121" s="270">
        <f t="shared" si="91"/>
        <v>0</v>
      </c>
      <c r="T121" s="270">
        <f t="shared" si="91"/>
        <v>0</v>
      </c>
      <c r="U121" s="270">
        <f t="shared" si="91"/>
        <v>0</v>
      </c>
      <c r="V121" s="270">
        <f t="shared" si="91"/>
        <v>0</v>
      </c>
      <c r="W121" s="270">
        <f t="shared" si="91"/>
        <v>0</v>
      </c>
      <c r="X121" s="270">
        <f t="shared" si="91"/>
        <v>0</v>
      </c>
      <c r="Y121" s="270">
        <f t="shared" si="91"/>
        <v>0</v>
      </c>
      <c r="Z121" s="365"/>
      <c r="AA121" s="317">
        <f t="shared" si="90"/>
        <v>6.924249999999999</v>
      </c>
      <c r="AB121" s="356">
        <v>2.67</v>
      </c>
      <c r="AC121" s="317">
        <f t="shared" si="84"/>
        <v>3.6534999999999997</v>
      </c>
      <c r="AD121" s="317">
        <v>0.7</v>
      </c>
      <c r="AE121" s="317"/>
      <c r="AF121" s="317"/>
      <c r="AG121" s="317">
        <f t="shared" si="85"/>
        <v>1.335</v>
      </c>
      <c r="AH121" s="317"/>
      <c r="AI121" s="317"/>
      <c r="AJ121" s="317"/>
      <c r="AK121" s="358">
        <f t="shared" si="86"/>
        <v>0.6675</v>
      </c>
      <c r="AL121" s="317"/>
      <c r="AM121" s="317"/>
      <c r="AN121" s="317"/>
      <c r="AO121" s="320"/>
      <c r="AP121" s="317">
        <f t="shared" si="87"/>
        <v>0.8009999999999999</v>
      </c>
      <c r="AQ121" s="340"/>
      <c r="AR121" s="317">
        <v>0.15</v>
      </c>
      <c r="AS121" s="443">
        <f t="shared" si="88"/>
        <v>0.60075</v>
      </c>
      <c r="AT121" s="285">
        <f t="shared" si="89"/>
        <v>123805589.99999997</v>
      </c>
      <c r="AU121" s="16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</row>
    <row r="122" spans="1:75" ht="15.75">
      <c r="A122" s="369">
        <v>1</v>
      </c>
      <c r="B122" s="14" t="s">
        <v>84</v>
      </c>
      <c r="C122" s="420"/>
      <c r="D122" s="420"/>
      <c r="E122" s="275">
        <f>F122+G122+X122</f>
        <v>0</v>
      </c>
      <c r="F122" s="277"/>
      <c r="G122" s="275">
        <f>H122+I122+J122+K122+L122+M122+N122+O122+P122+Q122+R122+S122+T122+U122+W122</f>
        <v>0</v>
      </c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5"/>
      <c r="S122" s="277"/>
      <c r="T122" s="270"/>
      <c r="U122" s="270"/>
      <c r="V122" s="270"/>
      <c r="W122" s="270"/>
      <c r="X122" s="270"/>
      <c r="Y122" s="278">
        <f>E122*1490000*12</f>
        <v>0</v>
      </c>
      <c r="Z122" s="370"/>
      <c r="AA122" s="317">
        <f t="shared" si="90"/>
        <v>6.041499999999999</v>
      </c>
      <c r="AB122" s="356">
        <v>2.26</v>
      </c>
      <c r="AC122" s="317">
        <f t="shared" si="84"/>
        <v>3.2729999999999997</v>
      </c>
      <c r="AD122" s="317">
        <v>0.7</v>
      </c>
      <c r="AE122" s="317"/>
      <c r="AF122" s="317"/>
      <c r="AG122" s="317">
        <f t="shared" si="85"/>
        <v>1.13</v>
      </c>
      <c r="AH122" s="317"/>
      <c r="AI122" s="317"/>
      <c r="AJ122" s="317"/>
      <c r="AK122" s="358">
        <f t="shared" si="86"/>
        <v>0.565</v>
      </c>
      <c r="AL122" s="317"/>
      <c r="AM122" s="317"/>
      <c r="AN122" s="317"/>
      <c r="AO122" s="320"/>
      <c r="AP122" s="317">
        <f t="shared" si="87"/>
        <v>0.6779999999999999</v>
      </c>
      <c r="AQ122" s="370"/>
      <c r="AR122" s="317">
        <f>0.05+0.15</f>
        <v>0.2</v>
      </c>
      <c r="AS122" s="443">
        <f t="shared" si="88"/>
        <v>0.5085</v>
      </c>
      <c r="AT122" s="285">
        <f t="shared" si="89"/>
        <v>108022019.99999997</v>
      </c>
      <c r="AU122" s="11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</row>
    <row r="123" spans="1:75" ht="15.75">
      <c r="A123" s="371">
        <v>2</v>
      </c>
      <c r="B123" s="338" t="s">
        <v>59</v>
      </c>
      <c r="C123" s="421"/>
      <c r="D123" s="421"/>
      <c r="E123" s="275">
        <f>F123+G123+X123</f>
        <v>0</v>
      </c>
      <c r="F123" s="372"/>
      <c r="G123" s="275">
        <f>H123+I123+J123+K123+L123+M123+N123+O123+P123+Q123+R123+S123+T123+U123+W123</f>
        <v>0</v>
      </c>
      <c r="H123" s="275"/>
      <c r="I123" s="275"/>
      <c r="J123" s="275"/>
      <c r="K123" s="275"/>
      <c r="L123" s="275"/>
      <c r="M123" s="275"/>
      <c r="N123" s="275"/>
      <c r="O123" s="316"/>
      <c r="P123" s="275"/>
      <c r="Q123" s="275"/>
      <c r="R123" s="275"/>
      <c r="S123" s="276"/>
      <c r="T123" s="275"/>
      <c r="U123" s="275"/>
      <c r="V123" s="275"/>
      <c r="W123" s="275"/>
      <c r="X123" s="275"/>
      <c r="Y123" s="278">
        <f>E123*1490000*12</f>
        <v>0</v>
      </c>
      <c r="Z123" s="370"/>
      <c r="AA123" s="317">
        <f t="shared" si="90"/>
        <v>6.173500000000001</v>
      </c>
      <c r="AB123" s="356">
        <v>2.34</v>
      </c>
      <c r="AC123" s="317">
        <f t="shared" si="84"/>
        <v>3.307</v>
      </c>
      <c r="AD123" s="317">
        <v>0.7</v>
      </c>
      <c r="AE123" s="317"/>
      <c r="AF123" s="317"/>
      <c r="AG123" s="317">
        <f t="shared" si="85"/>
        <v>1.17</v>
      </c>
      <c r="AH123" s="317"/>
      <c r="AI123" s="317"/>
      <c r="AJ123" s="317"/>
      <c r="AK123" s="358">
        <f t="shared" si="86"/>
        <v>0.585</v>
      </c>
      <c r="AL123" s="317"/>
      <c r="AM123" s="317"/>
      <c r="AN123" s="317"/>
      <c r="AO123" s="320"/>
      <c r="AP123" s="317">
        <f t="shared" si="87"/>
        <v>0.702</v>
      </c>
      <c r="AQ123" s="370"/>
      <c r="AR123" s="317">
        <v>0.15</v>
      </c>
      <c r="AS123" s="443">
        <f t="shared" si="88"/>
        <v>0.5265</v>
      </c>
      <c r="AT123" s="285">
        <f t="shared" si="89"/>
        <v>110382180.00000003</v>
      </c>
      <c r="AU123" s="11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</row>
    <row r="124" spans="1:75" ht="15.75">
      <c r="A124" s="371" t="s">
        <v>83</v>
      </c>
      <c r="B124" s="267" t="s">
        <v>82</v>
      </c>
      <c r="C124" s="416">
        <f aca="true" t="shared" si="92" ref="C124:Y124">C125+C130+C134+C137+C141</f>
        <v>12</v>
      </c>
      <c r="D124" s="416">
        <f t="shared" si="92"/>
        <v>11</v>
      </c>
      <c r="E124" s="270">
        <f t="shared" si="92"/>
        <v>103.44330000000002</v>
      </c>
      <c r="F124" s="270">
        <f t="shared" si="92"/>
        <v>38.91</v>
      </c>
      <c r="G124" s="270">
        <f t="shared" si="92"/>
        <v>55.119</v>
      </c>
      <c r="H124" s="270">
        <f t="shared" si="92"/>
        <v>8.399999999999999</v>
      </c>
      <c r="I124" s="270">
        <f t="shared" si="92"/>
        <v>2.55</v>
      </c>
      <c r="J124" s="270">
        <f t="shared" si="92"/>
        <v>0</v>
      </c>
      <c r="K124" s="270">
        <f t="shared" si="92"/>
        <v>20.73</v>
      </c>
      <c r="L124" s="270">
        <f t="shared" si="92"/>
        <v>0</v>
      </c>
      <c r="M124" s="270">
        <f t="shared" si="92"/>
        <v>0</v>
      </c>
      <c r="N124" s="270">
        <f t="shared" si="92"/>
        <v>0</v>
      </c>
      <c r="O124" s="270">
        <f t="shared" si="92"/>
        <v>10.365</v>
      </c>
      <c r="P124" s="270">
        <f t="shared" si="92"/>
        <v>0</v>
      </c>
      <c r="Q124" s="270">
        <f t="shared" si="92"/>
        <v>0</v>
      </c>
      <c r="R124" s="270">
        <f t="shared" si="92"/>
        <v>0</v>
      </c>
      <c r="S124" s="270">
        <f t="shared" si="92"/>
        <v>0</v>
      </c>
      <c r="T124" s="270">
        <f t="shared" si="92"/>
        <v>12.437999999999999</v>
      </c>
      <c r="U124" s="270">
        <f t="shared" si="92"/>
        <v>0</v>
      </c>
      <c r="V124" s="270">
        <f t="shared" si="92"/>
        <v>0.636</v>
      </c>
      <c r="W124" s="270">
        <f t="shared" si="92"/>
        <v>0</v>
      </c>
      <c r="X124" s="270">
        <f t="shared" si="92"/>
        <v>9.414300000000003</v>
      </c>
      <c r="Y124" s="270">
        <f t="shared" si="92"/>
        <v>1849566204</v>
      </c>
      <c r="Z124" s="370"/>
      <c r="AA124" s="317">
        <f t="shared" si="90"/>
        <v>6.173500000000001</v>
      </c>
      <c r="AB124" s="356">
        <v>2.34</v>
      </c>
      <c r="AC124" s="317">
        <f t="shared" si="84"/>
        <v>3.307</v>
      </c>
      <c r="AD124" s="317">
        <v>0.7</v>
      </c>
      <c r="AE124" s="317"/>
      <c r="AF124" s="317"/>
      <c r="AG124" s="317">
        <f t="shared" si="85"/>
        <v>1.17</v>
      </c>
      <c r="AH124" s="317"/>
      <c r="AI124" s="317"/>
      <c r="AJ124" s="317"/>
      <c r="AK124" s="358">
        <f t="shared" si="86"/>
        <v>0.585</v>
      </c>
      <c r="AL124" s="317"/>
      <c r="AM124" s="317"/>
      <c r="AN124" s="317"/>
      <c r="AO124" s="320"/>
      <c r="AP124" s="317">
        <f t="shared" si="87"/>
        <v>0.702</v>
      </c>
      <c r="AQ124" s="370"/>
      <c r="AR124" s="317">
        <v>0.15</v>
      </c>
      <c r="AS124" s="443">
        <f t="shared" si="88"/>
        <v>0.5265</v>
      </c>
      <c r="AT124" s="285">
        <f t="shared" si="89"/>
        <v>110382180.00000003</v>
      </c>
      <c r="AU124" s="11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</row>
    <row r="125" spans="1:75" ht="15.75">
      <c r="A125" s="371" t="s">
        <v>81</v>
      </c>
      <c r="B125" s="267" t="s">
        <v>80</v>
      </c>
      <c r="C125" s="420">
        <v>4</v>
      </c>
      <c r="D125" s="420">
        <v>4</v>
      </c>
      <c r="E125" s="270">
        <f aca="true" t="shared" si="93" ref="E125:X125">SUM(E126:E129)</f>
        <v>40.19415</v>
      </c>
      <c r="F125" s="270">
        <f t="shared" si="93"/>
        <v>15.18</v>
      </c>
      <c r="G125" s="270">
        <f t="shared" si="93"/>
        <v>21.322499999999998</v>
      </c>
      <c r="H125" s="270">
        <f t="shared" si="93"/>
        <v>2.8</v>
      </c>
      <c r="I125" s="270">
        <f t="shared" si="93"/>
        <v>0.9500000000000001</v>
      </c>
      <c r="J125" s="270">
        <f t="shared" si="93"/>
        <v>0</v>
      </c>
      <c r="K125" s="270">
        <f t="shared" si="93"/>
        <v>8.065000000000001</v>
      </c>
      <c r="L125" s="270">
        <f t="shared" si="93"/>
        <v>0</v>
      </c>
      <c r="M125" s="270">
        <f t="shared" si="93"/>
        <v>0</v>
      </c>
      <c r="N125" s="270">
        <f t="shared" si="93"/>
        <v>0</v>
      </c>
      <c r="O125" s="270">
        <f t="shared" si="93"/>
        <v>4.032500000000001</v>
      </c>
      <c r="P125" s="270">
        <f t="shared" si="93"/>
        <v>0</v>
      </c>
      <c r="Q125" s="270">
        <f t="shared" si="93"/>
        <v>0</v>
      </c>
      <c r="R125" s="270">
        <f t="shared" si="93"/>
        <v>0</v>
      </c>
      <c r="S125" s="270">
        <f t="shared" si="93"/>
        <v>0</v>
      </c>
      <c r="T125" s="270">
        <f t="shared" si="93"/>
        <v>4.8389999999999995</v>
      </c>
      <c r="U125" s="270">
        <f t="shared" si="93"/>
        <v>0</v>
      </c>
      <c r="V125" s="270">
        <f t="shared" si="93"/>
        <v>0.636</v>
      </c>
      <c r="W125" s="270">
        <f t="shared" si="93"/>
        <v>0</v>
      </c>
      <c r="X125" s="270">
        <f t="shared" si="93"/>
        <v>3.69165</v>
      </c>
      <c r="Y125" s="271">
        <f>ROUNDUP(SUM(Y126:Y129),0)</f>
        <v>718671402</v>
      </c>
      <c r="Z125" s="370"/>
      <c r="AA125" s="317">
        <f t="shared" si="90"/>
        <v>6.924249999999999</v>
      </c>
      <c r="AB125" s="320">
        <v>2.67</v>
      </c>
      <c r="AC125" s="317">
        <f t="shared" si="84"/>
        <v>3.6534999999999997</v>
      </c>
      <c r="AD125" s="317">
        <v>0.7</v>
      </c>
      <c r="AE125" s="317"/>
      <c r="AF125" s="317"/>
      <c r="AG125" s="317">
        <f>(AB125+AE125)*50%</f>
        <v>1.335</v>
      </c>
      <c r="AH125" s="317"/>
      <c r="AI125" s="317"/>
      <c r="AJ125" s="317"/>
      <c r="AK125" s="318">
        <f>(AB125+AE125)*25%</f>
        <v>0.6675</v>
      </c>
      <c r="AL125" s="317"/>
      <c r="AM125" s="317"/>
      <c r="AN125" s="317"/>
      <c r="AO125" s="320"/>
      <c r="AP125" s="317">
        <f t="shared" si="87"/>
        <v>0.8009999999999999</v>
      </c>
      <c r="AQ125" s="370"/>
      <c r="AR125" s="317">
        <v>0.15</v>
      </c>
      <c r="AS125" s="443">
        <f t="shared" si="88"/>
        <v>0.60075</v>
      </c>
      <c r="AT125" s="285">
        <f t="shared" si="89"/>
        <v>123805589.99999997</v>
      </c>
      <c r="AU125" s="11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</row>
    <row r="126" spans="1:75" ht="15.75">
      <c r="A126" s="373">
        <v>1</v>
      </c>
      <c r="B126" s="374" t="s">
        <v>79</v>
      </c>
      <c r="C126" s="418"/>
      <c r="D126" s="418"/>
      <c r="E126" s="348">
        <f>F126+G126+X126</f>
        <v>15.804999999999998</v>
      </c>
      <c r="F126" s="375">
        <v>5.76</v>
      </c>
      <c r="G126" s="348">
        <f>SUM(H126:W126)</f>
        <v>8.613999999999999</v>
      </c>
      <c r="H126" s="348">
        <v>0.7</v>
      </c>
      <c r="I126" s="348">
        <v>0.6</v>
      </c>
      <c r="J126" s="348"/>
      <c r="K126" s="348">
        <f>(F126+I126+J126)*0.5</f>
        <v>3.1799999999999997</v>
      </c>
      <c r="L126" s="348"/>
      <c r="M126" s="348"/>
      <c r="N126" s="348"/>
      <c r="O126" s="348">
        <f>(F126+I126+J126)*0.25</f>
        <v>1.5899999999999999</v>
      </c>
      <c r="P126" s="348"/>
      <c r="Q126" s="348"/>
      <c r="R126" s="348"/>
      <c r="S126" s="352"/>
      <c r="T126" s="348">
        <f>(F126+I126+J126)*30%</f>
        <v>1.9079999999999997</v>
      </c>
      <c r="U126" s="348"/>
      <c r="V126" s="348">
        <f>0.1*(F126+I126)</f>
        <v>0.636</v>
      </c>
      <c r="W126" s="348"/>
      <c r="X126" s="348">
        <f>(F126+I126+J126+M126)*0.225</f>
        <v>1.4309999999999998</v>
      </c>
      <c r="Y126" s="353">
        <f>E126*1490000*12</f>
        <v>282593399.99999994</v>
      </c>
      <c r="Z126" s="370"/>
      <c r="AA126" s="317">
        <f t="shared" si="90"/>
        <v>6.9015</v>
      </c>
      <c r="AB126" s="320">
        <v>2.66</v>
      </c>
      <c r="AC126" s="317">
        <f t="shared" si="84"/>
        <v>3.6430000000000002</v>
      </c>
      <c r="AD126" s="317">
        <v>0.7</v>
      </c>
      <c r="AE126" s="317"/>
      <c r="AF126" s="317"/>
      <c r="AG126" s="317">
        <f>(AB126+AE126)*50%</f>
        <v>1.33</v>
      </c>
      <c r="AH126" s="317"/>
      <c r="AI126" s="317"/>
      <c r="AJ126" s="317"/>
      <c r="AK126" s="318">
        <f>(AB126+AE126)*25%</f>
        <v>0.665</v>
      </c>
      <c r="AL126" s="317"/>
      <c r="AM126" s="317"/>
      <c r="AN126" s="317"/>
      <c r="AO126" s="320"/>
      <c r="AP126" s="317">
        <f t="shared" si="87"/>
        <v>0.798</v>
      </c>
      <c r="AQ126" s="370"/>
      <c r="AR126" s="317">
        <v>0.15</v>
      </c>
      <c r="AS126" s="443">
        <f t="shared" si="88"/>
        <v>0.5985</v>
      </c>
      <c r="AT126" s="285">
        <f>AA126*1490000*5</f>
        <v>51416175</v>
      </c>
      <c r="AU126" s="17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</row>
    <row r="127" spans="1:75" ht="15.75">
      <c r="A127" s="373">
        <v>2</v>
      </c>
      <c r="B127" s="374" t="s">
        <v>78</v>
      </c>
      <c r="C127" s="418"/>
      <c r="D127" s="418"/>
      <c r="E127" s="348">
        <f>F127+G127+X127</f>
        <v>8.73075</v>
      </c>
      <c r="F127" s="375">
        <v>3.33</v>
      </c>
      <c r="G127" s="348">
        <f>SUM(H127:W127)</f>
        <v>4.6065000000000005</v>
      </c>
      <c r="H127" s="348">
        <v>0.7</v>
      </c>
      <c r="I127" s="348">
        <v>0.2</v>
      </c>
      <c r="J127" s="348"/>
      <c r="K127" s="348">
        <f>(F127+I127+J127)*0.5</f>
        <v>1.7650000000000001</v>
      </c>
      <c r="L127" s="348"/>
      <c r="M127" s="348"/>
      <c r="N127" s="348"/>
      <c r="O127" s="348">
        <f>(F127+I127+J127)*0.25</f>
        <v>0.8825000000000001</v>
      </c>
      <c r="P127" s="348"/>
      <c r="Q127" s="348"/>
      <c r="R127" s="348"/>
      <c r="S127" s="352"/>
      <c r="T127" s="348">
        <f>(F127+I127+J127)*30%</f>
        <v>1.059</v>
      </c>
      <c r="U127" s="348"/>
      <c r="V127" s="348"/>
      <c r="W127" s="348"/>
      <c r="X127" s="348">
        <f>(F127+I127+J127+M127)*0.225</f>
        <v>0.7942500000000001</v>
      </c>
      <c r="Y127" s="353">
        <f>E127*1490000*12</f>
        <v>156105810</v>
      </c>
      <c r="Z127" s="376"/>
      <c r="AA127" s="360">
        <f>AB127+AC127+AS127</f>
        <v>7.356499999999999</v>
      </c>
      <c r="AB127" s="363">
        <v>2.86</v>
      </c>
      <c r="AC127" s="360">
        <f>SUM(AD127:AR127)</f>
        <v>3.8529999999999998</v>
      </c>
      <c r="AD127" s="360">
        <v>0.7</v>
      </c>
      <c r="AE127" s="360"/>
      <c r="AF127" s="360"/>
      <c r="AG127" s="360">
        <f>(AB127+AE127)*50%</f>
        <v>1.43</v>
      </c>
      <c r="AH127" s="360"/>
      <c r="AI127" s="360"/>
      <c r="AJ127" s="360"/>
      <c r="AK127" s="377">
        <f>(AB127+AE127)*25%</f>
        <v>0.715</v>
      </c>
      <c r="AL127" s="360"/>
      <c r="AM127" s="360"/>
      <c r="AN127" s="360"/>
      <c r="AO127" s="363"/>
      <c r="AP127" s="360">
        <f>(AB127+AE127+AF127)*30%</f>
        <v>0.858</v>
      </c>
      <c r="AQ127" s="376"/>
      <c r="AR127" s="360">
        <v>0.15</v>
      </c>
      <c r="AS127" s="445">
        <f>(AB127+AE127)*22.5%</f>
        <v>0.6435</v>
      </c>
      <c r="AT127" s="285">
        <f>AA127*1490000*7</f>
        <v>76728294.99999999</v>
      </c>
      <c r="AU127" s="17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</row>
    <row r="128" spans="1:75" ht="15.75">
      <c r="A128" s="373">
        <v>3</v>
      </c>
      <c r="B128" s="374" t="s">
        <v>77</v>
      </c>
      <c r="C128" s="418"/>
      <c r="D128" s="418"/>
      <c r="E128" s="348">
        <f>F128+G128+X128</f>
        <v>5.4985</v>
      </c>
      <c r="F128" s="375">
        <v>2.1</v>
      </c>
      <c r="G128" s="348">
        <f>SUM(H128:W128)</f>
        <v>2.905</v>
      </c>
      <c r="H128" s="348">
        <v>0.7</v>
      </c>
      <c r="I128" s="348"/>
      <c r="J128" s="348"/>
      <c r="K128" s="348">
        <f>(F128+I128+J128)*0.5</f>
        <v>1.05</v>
      </c>
      <c r="L128" s="348"/>
      <c r="M128" s="348"/>
      <c r="N128" s="348"/>
      <c r="O128" s="348">
        <f>(F128+I128+J128)*0.25</f>
        <v>0.525</v>
      </c>
      <c r="P128" s="348"/>
      <c r="Q128" s="348"/>
      <c r="R128" s="348"/>
      <c r="S128" s="352"/>
      <c r="T128" s="348">
        <f>(F128+I128+J128)*30%</f>
        <v>0.63</v>
      </c>
      <c r="U128" s="348"/>
      <c r="V128" s="348"/>
      <c r="W128" s="348"/>
      <c r="X128" s="348">
        <f>(F128+I128+J128+M128)*0.235</f>
        <v>0.4935</v>
      </c>
      <c r="Y128" s="353">
        <f>E128*1490000*12</f>
        <v>98313180</v>
      </c>
      <c r="Z128" s="370"/>
      <c r="AA128" s="317">
        <f t="shared" si="90"/>
        <v>17.198999999999998</v>
      </c>
      <c r="AB128" s="356">
        <f>6*2.34</f>
        <v>14.04</v>
      </c>
      <c r="AC128" s="317">
        <f t="shared" si="84"/>
        <v>0</v>
      </c>
      <c r="AD128" s="317"/>
      <c r="AE128" s="317"/>
      <c r="AF128" s="317"/>
      <c r="AG128" s="317"/>
      <c r="AH128" s="317"/>
      <c r="AI128" s="317"/>
      <c r="AJ128" s="317"/>
      <c r="AK128" s="358"/>
      <c r="AL128" s="317"/>
      <c r="AM128" s="317"/>
      <c r="AN128" s="317"/>
      <c r="AO128" s="320"/>
      <c r="AP128" s="317"/>
      <c r="AQ128" s="370"/>
      <c r="AR128" s="317"/>
      <c r="AS128" s="444">
        <f t="shared" si="88"/>
        <v>3.159</v>
      </c>
      <c r="AT128" s="285">
        <f t="shared" si="89"/>
        <v>307518119.99999994</v>
      </c>
      <c r="AU128" s="17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</row>
    <row r="129" spans="1:75" ht="15.75">
      <c r="A129" s="373">
        <v>4</v>
      </c>
      <c r="B129" s="374" t="s">
        <v>76</v>
      </c>
      <c r="C129" s="418"/>
      <c r="D129" s="418"/>
      <c r="E129" s="348">
        <f>F129+G129+X129</f>
        <v>10.1599</v>
      </c>
      <c r="F129" s="375">
        <v>3.99</v>
      </c>
      <c r="G129" s="348">
        <f>SUM(H129:W129)</f>
        <v>5.197000000000001</v>
      </c>
      <c r="H129" s="348">
        <v>0.7</v>
      </c>
      <c r="I129" s="348">
        <v>0.15</v>
      </c>
      <c r="J129" s="348"/>
      <c r="K129" s="348">
        <f>(F129+I129+J129)*0.5</f>
        <v>2.0700000000000003</v>
      </c>
      <c r="L129" s="348"/>
      <c r="M129" s="348"/>
      <c r="N129" s="348"/>
      <c r="O129" s="348">
        <f>(F129+I129+J129)*0.25</f>
        <v>1.0350000000000001</v>
      </c>
      <c r="P129" s="348"/>
      <c r="Q129" s="348"/>
      <c r="R129" s="348"/>
      <c r="S129" s="352"/>
      <c r="T129" s="348">
        <f>(F129+I129+J129)*30%</f>
        <v>1.2420000000000002</v>
      </c>
      <c r="U129" s="348"/>
      <c r="V129" s="348"/>
      <c r="W129" s="348"/>
      <c r="X129" s="348">
        <f>(F129+I129+J129+M129)*0.235</f>
        <v>0.9729000000000001</v>
      </c>
      <c r="Y129" s="353">
        <f>E129*1490000*12</f>
        <v>181659012</v>
      </c>
      <c r="Z129" s="370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446"/>
      <c r="AT129" s="378"/>
      <c r="AU129" s="17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</row>
    <row r="130" spans="1:75" ht="15.75">
      <c r="A130" s="371" t="s">
        <v>75</v>
      </c>
      <c r="B130" s="267" t="s">
        <v>74</v>
      </c>
      <c r="C130" s="420">
        <v>2</v>
      </c>
      <c r="D130" s="420">
        <v>2</v>
      </c>
      <c r="E130" s="270">
        <f aca="true" t="shared" si="94" ref="E130:U130">E131</f>
        <v>18.3715</v>
      </c>
      <c r="F130" s="277">
        <f t="shared" si="94"/>
        <v>6.96</v>
      </c>
      <c r="G130" s="270">
        <f t="shared" si="94"/>
        <v>9.733</v>
      </c>
      <c r="H130" s="270">
        <f t="shared" si="94"/>
        <v>1.4</v>
      </c>
      <c r="I130" s="270">
        <f t="shared" si="94"/>
        <v>0.5</v>
      </c>
      <c r="J130" s="270">
        <f t="shared" si="94"/>
        <v>0</v>
      </c>
      <c r="K130" s="270">
        <f t="shared" si="94"/>
        <v>3.73</v>
      </c>
      <c r="L130" s="270">
        <f t="shared" si="94"/>
        <v>0</v>
      </c>
      <c r="M130" s="270">
        <f t="shared" si="94"/>
        <v>0</v>
      </c>
      <c r="N130" s="270">
        <f t="shared" si="94"/>
        <v>0</v>
      </c>
      <c r="O130" s="270">
        <f t="shared" si="94"/>
        <v>1.865</v>
      </c>
      <c r="P130" s="270">
        <f t="shared" si="94"/>
        <v>0</v>
      </c>
      <c r="Q130" s="270">
        <f t="shared" si="94"/>
        <v>0</v>
      </c>
      <c r="R130" s="270">
        <f t="shared" si="94"/>
        <v>0</v>
      </c>
      <c r="S130" s="277">
        <f t="shared" si="94"/>
        <v>0</v>
      </c>
      <c r="T130" s="270">
        <f t="shared" si="94"/>
        <v>2.2379999999999995</v>
      </c>
      <c r="U130" s="270">
        <f t="shared" si="94"/>
        <v>0</v>
      </c>
      <c r="V130" s="270"/>
      <c r="W130" s="270">
        <f>W131</f>
        <v>0</v>
      </c>
      <c r="X130" s="270">
        <f>X131</f>
        <v>1.6785</v>
      </c>
      <c r="Y130" s="271">
        <f>Y131</f>
        <v>328482420</v>
      </c>
      <c r="Z130" s="379">
        <v>4</v>
      </c>
      <c r="AA130" s="379">
        <f>SUM(AA131:AA134)</f>
        <v>38.747749999999996</v>
      </c>
      <c r="AB130" s="379">
        <f aca="true" t="shared" si="95" ref="AB130:AS130">SUM(AB131:AB134)</f>
        <v>15.42</v>
      </c>
      <c r="AC130" s="379">
        <f t="shared" si="95"/>
        <v>19.6445</v>
      </c>
      <c r="AD130" s="379">
        <f t="shared" si="95"/>
        <v>2.0999999999999996</v>
      </c>
      <c r="AE130" s="379">
        <f t="shared" si="95"/>
        <v>0.9500000000000001</v>
      </c>
      <c r="AF130" s="379">
        <f t="shared" si="95"/>
        <v>0</v>
      </c>
      <c r="AG130" s="379">
        <f t="shared" si="95"/>
        <v>7.015000000000001</v>
      </c>
      <c r="AH130" s="379">
        <f t="shared" si="95"/>
        <v>0</v>
      </c>
      <c r="AI130" s="379">
        <f t="shared" si="95"/>
        <v>0</v>
      </c>
      <c r="AJ130" s="379">
        <f t="shared" si="95"/>
        <v>0</v>
      </c>
      <c r="AK130" s="379">
        <f t="shared" si="95"/>
        <v>3.5075000000000003</v>
      </c>
      <c r="AL130" s="379">
        <f t="shared" si="95"/>
        <v>0</v>
      </c>
      <c r="AM130" s="379">
        <f t="shared" si="95"/>
        <v>0</v>
      </c>
      <c r="AN130" s="379">
        <f t="shared" si="95"/>
        <v>0</v>
      </c>
      <c r="AO130" s="379">
        <f t="shared" si="95"/>
        <v>0</v>
      </c>
      <c r="AP130" s="379">
        <f t="shared" si="95"/>
        <v>4.209</v>
      </c>
      <c r="AQ130" s="379">
        <f t="shared" si="95"/>
        <v>1.4030000000000002</v>
      </c>
      <c r="AR130" s="379">
        <f t="shared" si="95"/>
        <v>0.45999999999999996</v>
      </c>
      <c r="AS130" s="447">
        <f t="shared" si="95"/>
        <v>3.68325</v>
      </c>
      <c r="AT130" s="380">
        <f>SUM(AT131:AT135)</f>
        <v>696700160</v>
      </c>
      <c r="AU130" s="11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</row>
    <row r="131" spans="1:75" ht="15.75">
      <c r="A131" s="371">
        <v>1</v>
      </c>
      <c r="B131" s="267" t="s">
        <v>73</v>
      </c>
      <c r="C131" s="420"/>
      <c r="D131" s="420"/>
      <c r="E131" s="270">
        <f aca="true" t="shared" si="96" ref="E131:X131">E132+E133</f>
        <v>18.3715</v>
      </c>
      <c r="F131" s="270">
        <f t="shared" si="96"/>
        <v>6.96</v>
      </c>
      <c r="G131" s="270">
        <f t="shared" si="96"/>
        <v>9.733</v>
      </c>
      <c r="H131" s="270">
        <f t="shared" si="96"/>
        <v>1.4</v>
      </c>
      <c r="I131" s="270">
        <f t="shared" si="96"/>
        <v>0.5</v>
      </c>
      <c r="J131" s="270">
        <f t="shared" si="96"/>
        <v>0</v>
      </c>
      <c r="K131" s="270">
        <f t="shared" si="96"/>
        <v>3.73</v>
      </c>
      <c r="L131" s="270">
        <f t="shared" si="96"/>
        <v>0</v>
      </c>
      <c r="M131" s="270">
        <f t="shared" si="96"/>
        <v>0</v>
      </c>
      <c r="N131" s="270">
        <f t="shared" si="96"/>
        <v>0</v>
      </c>
      <c r="O131" s="270">
        <f t="shared" si="96"/>
        <v>1.865</v>
      </c>
      <c r="P131" s="270">
        <f t="shared" si="96"/>
        <v>0</v>
      </c>
      <c r="Q131" s="270">
        <f t="shared" si="96"/>
        <v>0</v>
      </c>
      <c r="R131" s="270">
        <f t="shared" si="96"/>
        <v>0</v>
      </c>
      <c r="S131" s="270">
        <f t="shared" si="96"/>
        <v>0</v>
      </c>
      <c r="T131" s="270">
        <f t="shared" si="96"/>
        <v>2.2379999999999995</v>
      </c>
      <c r="U131" s="270">
        <f t="shared" si="96"/>
        <v>0</v>
      </c>
      <c r="V131" s="270">
        <f t="shared" si="96"/>
        <v>0</v>
      </c>
      <c r="W131" s="270">
        <f t="shared" si="96"/>
        <v>0</v>
      </c>
      <c r="X131" s="270">
        <f t="shared" si="96"/>
        <v>1.6785</v>
      </c>
      <c r="Y131" s="271">
        <f>ROUNDUP(SUM(Y132:Y133),0)</f>
        <v>328482420</v>
      </c>
      <c r="Z131" s="284"/>
      <c r="AA131" s="303">
        <f>AB131+AC131+AS131</f>
        <v>16.044999999999998</v>
      </c>
      <c r="AB131" s="381">
        <v>5.76</v>
      </c>
      <c r="AC131" s="303">
        <f>SUM(AD131:AR131)</f>
        <v>8.854</v>
      </c>
      <c r="AD131" s="303">
        <v>0.7</v>
      </c>
      <c r="AE131" s="382">
        <v>0.6</v>
      </c>
      <c r="AF131" s="303"/>
      <c r="AG131" s="303">
        <f>(AB131+AE131)*50%</f>
        <v>3.1799999999999997</v>
      </c>
      <c r="AH131" s="303"/>
      <c r="AI131" s="303"/>
      <c r="AJ131" s="303"/>
      <c r="AK131" s="303">
        <f>(AB131+AE131)*25%</f>
        <v>1.5899999999999999</v>
      </c>
      <c r="AL131" s="303"/>
      <c r="AM131" s="303"/>
      <c r="AN131" s="303"/>
      <c r="AO131" s="303"/>
      <c r="AP131" s="303">
        <f>(AB131+AE131)*30%</f>
        <v>1.9079999999999997</v>
      </c>
      <c r="AQ131" s="303">
        <f>(AB131+AE131)*10%</f>
        <v>0.636</v>
      </c>
      <c r="AR131" s="303">
        <v>0.24</v>
      </c>
      <c r="AS131" s="433">
        <f>(AB131+AE131)*22.5%</f>
        <v>1.4309999999999998</v>
      </c>
      <c r="AT131" s="304">
        <f>AA131*12*1490000</f>
        <v>286884599.99999994</v>
      </c>
      <c r="AU131" s="11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</row>
    <row r="132" spans="1:75" ht="15.75">
      <c r="A132" s="371">
        <v>1</v>
      </c>
      <c r="B132" s="338" t="s">
        <v>25</v>
      </c>
      <c r="C132" s="421"/>
      <c r="D132" s="421"/>
      <c r="E132" s="275">
        <f>F132+G132+X132</f>
        <v>10.3915</v>
      </c>
      <c r="F132" s="372">
        <v>3.96</v>
      </c>
      <c r="G132" s="275">
        <f>SUM(H132:W132)</f>
        <v>5.473</v>
      </c>
      <c r="H132" s="275">
        <v>0.7</v>
      </c>
      <c r="I132" s="275">
        <v>0.3</v>
      </c>
      <c r="J132" s="275"/>
      <c r="K132" s="275">
        <f>(F132+I132+J132)*0.5</f>
        <v>2.13</v>
      </c>
      <c r="L132" s="275"/>
      <c r="M132" s="275"/>
      <c r="N132" s="275"/>
      <c r="O132" s="275">
        <f>(F132+I132+J132+M132)*0.25</f>
        <v>1.065</v>
      </c>
      <c r="P132" s="275"/>
      <c r="Q132" s="275"/>
      <c r="R132" s="275"/>
      <c r="S132" s="276"/>
      <c r="T132" s="275">
        <f>(F132+I132+J132)*30%</f>
        <v>1.2779999999999998</v>
      </c>
      <c r="U132" s="275"/>
      <c r="V132" s="275"/>
      <c r="W132" s="275"/>
      <c r="X132" s="275">
        <f>(F132+I132+J132+M132)*0.225</f>
        <v>0.9585</v>
      </c>
      <c r="Y132" s="278">
        <f>E132*1490000*12</f>
        <v>185800020</v>
      </c>
      <c r="Z132" s="305"/>
      <c r="AA132" s="303">
        <f>AB132+AC132+AS132</f>
        <v>9.08375</v>
      </c>
      <c r="AB132" s="381">
        <v>3.33</v>
      </c>
      <c r="AC132" s="303">
        <f>SUM(AD132:AR132)</f>
        <v>4.9595</v>
      </c>
      <c r="AD132" s="303">
        <v>0.7</v>
      </c>
      <c r="AE132" s="382">
        <v>0.2</v>
      </c>
      <c r="AF132" s="306"/>
      <c r="AG132" s="303">
        <f>(AB132+AE132)*50%</f>
        <v>1.7650000000000001</v>
      </c>
      <c r="AH132" s="306"/>
      <c r="AI132" s="306"/>
      <c r="AJ132" s="306"/>
      <c r="AK132" s="303">
        <f>(AB132+AE132)*25%</f>
        <v>0.8825000000000001</v>
      </c>
      <c r="AL132" s="306"/>
      <c r="AM132" s="306"/>
      <c r="AN132" s="306"/>
      <c r="AO132" s="306"/>
      <c r="AP132" s="303">
        <f>(AB132+AE132)*30%</f>
        <v>1.059</v>
      </c>
      <c r="AQ132" s="303">
        <f>(AB132+AE132)*10%</f>
        <v>0.35300000000000004</v>
      </c>
      <c r="AR132" s="306"/>
      <c r="AS132" s="433">
        <f>(AB132+AE132)*22.5%</f>
        <v>0.7942500000000001</v>
      </c>
      <c r="AT132" s="304">
        <f>AA132*12*1490000</f>
        <v>162417450</v>
      </c>
      <c r="AU132" s="11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</row>
    <row r="133" spans="1:75" ht="15.75">
      <c r="A133" s="371">
        <v>2</v>
      </c>
      <c r="B133" s="338" t="s">
        <v>51</v>
      </c>
      <c r="C133" s="421"/>
      <c r="D133" s="421"/>
      <c r="E133" s="275">
        <f>F133+G133+X133</f>
        <v>7.9799999999999995</v>
      </c>
      <c r="F133" s="372">
        <v>3</v>
      </c>
      <c r="G133" s="275">
        <f>SUM(H133:W133)</f>
        <v>4.26</v>
      </c>
      <c r="H133" s="275">
        <v>0.7</v>
      </c>
      <c r="I133" s="275">
        <v>0.2</v>
      </c>
      <c r="J133" s="275"/>
      <c r="K133" s="275">
        <f>(F133+I133+J133)*0.5</f>
        <v>1.6</v>
      </c>
      <c r="L133" s="275"/>
      <c r="M133" s="275"/>
      <c r="N133" s="275"/>
      <c r="O133" s="275">
        <f>(F133+I133+J133+M133)*0.25</f>
        <v>0.8</v>
      </c>
      <c r="P133" s="275"/>
      <c r="Q133" s="275"/>
      <c r="R133" s="275"/>
      <c r="S133" s="276"/>
      <c r="T133" s="275">
        <f>(F133+I133+J133)*30%</f>
        <v>0.96</v>
      </c>
      <c r="U133" s="275"/>
      <c r="V133" s="275"/>
      <c r="W133" s="275"/>
      <c r="X133" s="275">
        <f>(F133+I133+J133+M133)*0.225</f>
        <v>0.7200000000000001</v>
      </c>
      <c r="Y133" s="278">
        <f>E133*1490000*12</f>
        <v>142682400</v>
      </c>
      <c r="Z133" s="284"/>
      <c r="AA133" s="303">
        <f>AB133+AC133+AS133</f>
        <v>10.752500000000001</v>
      </c>
      <c r="AB133" s="383">
        <v>3.99</v>
      </c>
      <c r="AC133" s="303">
        <f>SUM(AD133:AR133)</f>
        <v>5.831</v>
      </c>
      <c r="AD133" s="303">
        <v>0.7</v>
      </c>
      <c r="AE133" s="384">
        <v>0.15</v>
      </c>
      <c r="AF133" s="284"/>
      <c r="AG133" s="303">
        <f>(AB133+AE133)*50%</f>
        <v>2.0700000000000003</v>
      </c>
      <c r="AH133" s="284"/>
      <c r="AI133" s="284"/>
      <c r="AJ133" s="284"/>
      <c r="AK133" s="303">
        <f>(AB133+AE133)*25%</f>
        <v>1.0350000000000001</v>
      </c>
      <c r="AL133" s="284"/>
      <c r="AM133" s="284"/>
      <c r="AN133" s="284"/>
      <c r="AO133" s="284"/>
      <c r="AP133" s="303">
        <f>(AB133+AE133)*30%</f>
        <v>1.2420000000000002</v>
      </c>
      <c r="AQ133" s="303">
        <f>(AB133+AE133)*10%</f>
        <v>0.4140000000000001</v>
      </c>
      <c r="AR133" s="284">
        <v>0.22</v>
      </c>
      <c r="AS133" s="433">
        <f>(AB133+AE133)*22.5%</f>
        <v>0.9315000000000001</v>
      </c>
      <c r="AT133" s="304">
        <f>AA133*12*1490000</f>
        <v>192254700.00000003</v>
      </c>
      <c r="AU133" s="11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</row>
    <row r="134" spans="1:75" ht="15.75">
      <c r="A134" s="371" t="s">
        <v>72</v>
      </c>
      <c r="B134" s="267" t="s">
        <v>71</v>
      </c>
      <c r="C134" s="420">
        <v>2</v>
      </c>
      <c r="D134" s="420">
        <v>1</v>
      </c>
      <c r="E134" s="270">
        <f aca="true" t="shared" si="97" ref="E134:X134">SUM(E135:E136)</f>
        <v>16.50665</v>
      </c>
      <c r="F134" s="270">
        <f t="shared" si="97"/>
        <v>6.33</v>
      </c>
      <c r="G134" s="270">
        <f t="shared" si="97"/>
        <v>8.6615</v>
      </c>
      <c r="H134" s="270">
        <f t="shared" si="97"/>
        <v>1.4</v>
      </c>
      <c r="I134" s="270">
        <f t="shared" si="97"/>
        <v>0.3</v>
      </c>
      <c r="J134" s="270">
        <f t="shared" si="97"/>
        <v>0</v>
      </c>
      <c r="K134" s="270">
        <f t="shared" si="97"/>
        <v>3.315</v>
      </c>
      <c r="L134" s="270">
        <f t="shared" si="97"/>
        <v>0</v>
      </c>
      <c r="M134" s="270">
        <f t="shared" si="97"/>
        <v>0</v>
      </c>
      <c r="N134" s="270">
        <f t="shared" si="97"/>
        <v>0</v>
      </c>
      <c r="O134" s="270">
        <f t="shared" si="97"/>
        <v>1.6575</v>
      </c>
      <c r="P134" s="270">
        <f t="shared" si="97"/>
        <v>0</v>
      </c>
      <c r="Q134" s="270">
        <f t="shared" si="97"/>
        <v>0</v>
      </c>
      <c r="R134" s="270">
        <f t="shared" si="97"/>
        <v>0</v>
      </c>
      <c r="S134" s="270">
        <f t="shared" si="97"/>
        <v>0</v>
      </c>
      <c r="T134" s="270">
        <f t="shared" si="97"/>
        <v>1.9889999999999999</v>
      </c>
      <c r="U134" s="270">
        <f t="shared" si="97"/>
        <v>0</v>
      </c>
      <c r="V134" s="270">
        <f t="shared" si="97"/>
        <v>0</v>
      </c>
      <c r="W134" s="270">
        <f t="shared" si="97"/>
        <v>0</v>
      </c>
      <c r="X134" s="270">
        <f t="shared" si="97"/>
        <v>1.51515</v>
      </c>
      <c r="Y134" s="270">
        <f>ROUNDUP(SUM(Y135:Y136),0)</f>
        <v>295138902</v>
      </c>
      <c r="Z134" s="284"/>
      <c r="AA134" s="303">
        <f>AB134+AC134+AS134</f>
        <v>2.8665</v>
      </c>
      <c r="AB134" s="303">
        <v>2.34</v>
      </c>
      <c r="AC134" s="303">
        <f>SUM(AD134:AR134)</f>
        <v>0</v>
      </c>
      <c r="AD134" s="303">
        <v>0</v>
      </c>
      <c r="AE134" s="284">
        <v>0</v>
      </c>
      <c r="AF134" s="284"/>
      <c r="AG134" s="303"/>
      <c r="AH134" s="284"/>
      <c r="AI134" s="284"/>
      <c r="AJ134" s="284"/>
      <c r="AK134" s="303"/>
      <c r="AL134" s="284"/>
      <c r="AM134" s="284"/>
      <c r="AN134" s="284"/>
      <c r="AO134" s="284"/>
      <c r="AP134" s="303"/>
      <c r="AQ134" s="284"/>
      <c r="AR134" s="284"/>
      <c r="AS134" s="433">
        <f>(AB134+AE134)*22.5%</f>
        <v>0.5265</v>
      </c>
      <c r="AT134" s="304">
        <f>AA134*11*1490000</f>
        <v>46981935</v>
      </c>
      <c r="AU134" s="11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</row>
    <row r="135" spans="1:75" ht="15.75">
      <c r="A135" s="371">
        <v>1</v>
      </c>
      <c r="B135" s="338" t="s">
        <v>30</v>
      </c>
      <c r="C135" s="421"/>
      <c r="D135" s="421"/>
      <c r="E135" s="275">
        <f>F135+G135+X135</f>
        <v>10.45975</v>
      </c>
      <c r="F135" s="372">
        <v>3.99</v>
      </c>
      <c r="G135" s="275">
        <f>H135+I135+J135+K135+L135+M135+N135+O135+P135+Q135+R135+S135+T135+U135+W135</f>
        <v>5.5045</v>
      </c>
      <c r="H135" s="275">
        <v>0.7</v>
      </c>
      <c r="I135" s="275">
        <v>0.3</v>
      </c>
      <c r="J135" s="275"/>
      <c r="K135" s="275">
        <f>(F135+I135+J135)*0.5</f>
        <v>2.145</v>
      </c>
      <c r="L135" s="275"/>
      <c r="M135" s="275"/>
      <c r="N135" s="275"/>
      <c r="O135" s="275">
        <f>(F135+I135+J135+M135)*0.25</f>
        <v>1.0725</v>
      </c>
      <c r="P135" s="275"/>
      <c r="Q135" s="275"/>
      <c r="R135" s="275"/>
      <c r="S135" s="276"/>
      <c r="T135" s="275">
        <f>(F135+I135+J135)*30%</f>
        <v>1.287</v>
      </c>
      <c r="U135" s="275"/>
      <c r="V135" s="275"/>
      <c r="W135" s="275"/>
      <c r="X135" s="275">
        <f>(F135+I135)*0.225</f>
        <v>0.96525</v>
      </c>
      <c r="Y135" s="278">
        <f>E135*1490000*12</f>
        <v>187020330</v>
      </c>
      <c r="Z135" s="284"/>
      <c r="AA135" s="303">
        <f>AB135+AC135+AS135</f>
        <v>5.4775</v>
      </c>
      <c r="AB135" s="303">
        <v>2.1</v>
      </c>
      <c r="AC135" s="303">
        <f>SUM(AD135:AR135)</f>
        <v>2.905</v>
      </c>
      <c r="AD135" s="303">
        <v>0.7</v>
      </c>
      <c r="AE135" s="284"/>
      <c r="AF135" s="284"/>
      <c r="AG135" s="303">
        <f>(AB135+AE135)*50%</f>
        <v>1.05</v>
      </c>
      <c r="AH135" s="284"/>
      <c r="AI135" s="284"/>
      <c r="AJ135" s="284"/>
      <c r="AK135" s="303">
        <f>(AB135+AE135)*25%</f>
        <v>0.525</v>
      </c>
      <c r="AL135" s="284"/>
      <c r="AM135" s="284"/>
      <c r="AN135" s="284"/>
      <c r="AO135" s="284"/>
      <c r="AP135" s="303">
        <f>(AB135+AE135)*30%</f>
        <v>0.63</v>
      </c>
      <c r="AQ135" s="284"/>
      <c r="AR135" s="284"/>
      <c r="AS135" s="433">
        <f>(AB135+AE135)*22.5%</f>
        <v>0.47250000000000003</v>
      </c>
      <c r="AT135" s="304">
        <f>AA135*1*1490000</f>
        <v>8161475</v>
      </c>
      <c r="AU135" s="11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</row>
    <row r="136" spans="1:75" ht="15.75">
      <c r="A136" s="385">
        <v>2</v>
      </c>
      <c r="B136" s="338" t="s">
        <v>70</v>
      </c>
      <c r="C136" s="421"/>
      <c r="D136" s="421"/>
      <c r="E136" s="275">
        <f>F136+G136+X136</f>
        <v>6.0469</v>
      </c>
      <c r="F136" s="372">
        <v>2.34</v>
      </c>
      <c r="G136" s="275">
        <f>SUM(H136:W136)</f>
        <v>3.157</v>
      </c>
      <c r="H136" s="275">
        <v>0.7</v>
      </c>
      <c r="I136" s="275"/>
      <c r="J136" s="275"/>
      <c r="K136" s="275">
        <f>(F136+I136+J136)*0.5</f>
        <v>1.17</v>
      </c>
      <c r="L136" s="275"/>
      <c r="M136" s="275"/>
      <c r="N136" s="275"/>
      <c r="O136" s="275">
        <f>(F136+I136+J136)*0.25</f>
        <v>0.585</v>
      </c>
      <c r="P136" s="275"/>
      <c r="Q136" s="275"/>
      <c r="R136" s="275"/>
      <c r="S136" s="276"/>
      <c r="T136" s="275">
        <f>(F136+I136+J136)*30%</f>
        <v>0.702</v>
      </c>
      <c r="U136" s="275"/>
      <c r="V136" s="275"/>
      <c r="W136" s="275"/>
      <c r="X136" s="275">
        <f>(F136+I136+J136+M136)*0.235</f>
        <v>0.5498999999999999</v>
      </c>
      <c r="Y136" s="278">
        <f>E136*1490000*12</f>
        <v>108118572</v>
      </c>
      <c r="Z136" s="293">
        <v>2</v>
      </c>
      <c r="AA136" s="386">
        <f>SUM(AA137:AA138)</f>
        <v>14.077</v>
      </c>
      <c r="AB136" s="386">
        <f>SUM(AB137:AB138)</f>
        <v>6.66</v>
      </c>
      <c r="AC136" s="386">
        <f aca="true" t="shared" si="98" ref="AC136:AS136">SUM(AC137:AC138)</f>
        <v>5.851</v>
      </c>
      <c r="AD136" s="386">
        <f t="shared" si="98"/>
        <v>0.7</v>
      </c>
      <c r="AE136" s="386">
        <f t="shared" si="98"/>
        <v>0.3</v>
      </c>
      <c r="AF136" s="386">
        <f t="shared" si="98"/>
        <v>0</v>
      </c>
      <c r="AG136" s="386">
        <f t="shared" si="98"/>
        <v>2.31</v>
      </c>
      <c r="AH136" s="386">
        <f t="shared" si="98"/>
        <v>0</v>
      </c>
      <c r="AI136" s="386">
        <f t="shared" si="98"/>
        <v>0</v>
      </c>
      <c r="AJ136" s="386">
        <f t="shared" si="98"/>
        <v>0</v>
      </c>
      <c r="AK136" s="386">
        <f t="shared" si="98"/>
        <v>1.155</v>
      </c>
      <c r="AL136" s="386">
        <f t="shared" si="98"/>
        <v>0</v>
      </c>
      <c r="AM136" s="386">
        <f t="shared" si="98"/>
        <v>0</v>
      </c>
      <c r="AN136" s="386">
        <f t="shared" si="98"/>
        <v>0</v>
      </c>
      <c r="AO136" s="386">
        <f t="shared" si="98"/>
        <v>0</v>
      </c>
      <c r="AP136" s="386">
        <f t="shared" si="98"/>
        <v>1.386</v>
      </c>
      <c r="AQ136" s="386">
        <f t="shared" si="98"/>
        <v>0</v>
      </c>
      <c r="AR136" s="386">
        <f t="shared" si="98"/>
        <v>0</v>
      </c>
      <c r="AS136" s="448">
        <f t="shared" si="98"/>
        <v>1.566</v>
      </c>
      <c r="AT136" s="386">
        <f>SUM(AT137:AT138)</f>
        <v>251696760.00000003</v>
      </c>
      <c r="AU136" s="11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</row>
    <row r="137" spans="1:75" ht="15.75">
      <c r="A137" s="371" t="s">
        <v>69</v>
      </c>
      <c r="B137" s="267" t="s">
        <v>68</v>
      </c>
      <c r="C137" s="420">
        <v>3</v>
      </c>
      <c r="D137" s="420">
        <v>3</v>
      </c>
      <c r="E137" s="270">
        <f aca="true" t="shared" si="99" ref="E137:X137">E138+E139+E140</f>
        <v>19.412750000000003</v>
      </c>
      <c r="F137" s="270">
        <f t="shared" si="99"/>
        <v>7.109999999999999</v>
      </c>
      <c r="G137" s="270">
        <f t="shared" si="99"/>
        <v>10.5905</v>
      </c>
      <c r="H137" s="270">
        <f t="shared" si="99"/>
        <v>2.0999999999999996</v>
      </c>
      <c r="I137" s="270">
        <f t="shared" si="99"/>
        <v>0.5</v>
      </c>
      <c r="J137" s="270">
        <f t="shared" si="99"/>
        <v>0</v>
      </c>
      <c r="K137" s="270">
        <f t="shared" si="99"/>
        <v>3.8049999999999997</v>
      </c>
      <c r="L137" s="270">
        <f t="shared" si="99"/>
        <v>0</v>
      </c>
      <c r="M137" s="270">
        <f t="shared" si="99"/>
        <v>0</v>
      </c>
      <c r="N137" s="270">
        <f t="shared" si="99"/>
        <v>0</v>
      </c>
      <c r="O137" s="270">
        <f t="shared" si="99"/>
        <v>1.9024999999999999</v>
      </c>
      <c r="P137" s="270">
        <f t="shared" si="99"/>
        <v>0</v>
      </c>
      <c r="Q137" s="270">
        <f t="shared" si="99"/>
        <v>0</v>
      </c>
      <c r="R137" s="270">
        <f t="shared" si="99"/>
        <v>0</v>
      </c>
      <c r="S137" s="270">
        <f t="shared" si="99"/>
        <v>0</v>
      </c>
      <c r="T137" s="270">
        <f t="shared" si="99"/>
        <v>2.283</v>
      </c>
      <c r="U137" s="270">
        <f t="shared" si="99"/>
        <v>0</v>
      </c>
      <c r="V137" s="270">
        <f t="shared" si="99"/>
        <v>0</v>
      </c>
      <c r="W137" s="270">
        <f t="shared" si="99"/>
        <v>0</v>
      </c>
      <c r="X137" s="270">
        <f t="shared" si="99"/>
        <v>1.71225</v>
      </c>
      <c r="Y137" s="271">
        <f>ROUNDUP(SUM(Y138:Y140),0)</f>
        <v>347099970</v>
      </c>
      <c r="Z137" s="284"/>
      <c r="AA137" s="303">
        <f>AB137+AC137+AS137</f>
        <v>11.2105</v>
      </c>
      <c r="AB137" s="387">
        <v>4.32</v>
      </c>
      <c r="AC137" s="303">
        <f>SUM(AD137:AR137)</f>
        <v>5.851</v>
      </c>
      <c r="AD137" s="303">
        <v>0.7</v>
      </c>
      <c r="AE137" s="382">
        <v>0.3</v>
      </c>
      <c r="AF137" s="303"/>
      <c r="AG137" s="303">
        <f>(AB137+AE137)*50%</f>
        <v>2.31</v>
      </c>
      <c r="AH137" s="303"/>
      <c r="AI137" s="303"/>
      <c r="AJ137" s="303"/>
      <c r="AK137" s="303">
        <f>(AB137+AE137)*25%</f>
        <v>1.155</v>
      </c>
      <c r="AL137" s="303"/>
      <c r="AM137" s="303"/>
      <c r="AN137" s="303"/>
      <c r="AO137" s="303"/>
      <c r="AP137" s="303">
        <f>(AB137+AE137)*30%</f>
        <v>1.386</v>
      </c>
      <c r="AQ137" s="303"/>
      <c r="AR137" s="303"/>
      <c r="AS137" s="433">
        <f>(AB137+AE137)*22.5%</f>
        <v>1.0395</v>
      </c>
      <c r="AT137" s="304">
        <f>AA137*12*1490000</f>
        <v>200443740.00000003</v>
      </c>
      <c r="AU137" s="11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</row>
    <row r="138" spans="1:75" ht="15.75">
      <c r="A138" s="371">
        <v>1</v>
      </c>
      <c r="B138" s="338" t="s">
        <v>16</v>
      </c>
      <c r="C138" s="421"/>
      <c r="D138" s="421"/>
      <c r="E138" s="275">
        <f>F138+G138+X138</f>
        <v>7.4567499999999995</v>
      </c>
      <c r="F138" s="372">
        <v>2.67</v>
      </c>
      <c r="G138" s="275">
        <f>SUM(H138:W138)</f>
        <v>4.1185</v>
      </c>
      <c r="H138" s="275">
        <v>0.7</v>
      </c>
      <c r="I138" s="275">
        <v>0.3</v>
      </c>
      <c r="J138" s="275"/>
      <c r="K138" s="275">
        <f>(F138+I138+J138)*0.5</f>
        <v>1.4849999999999999</v>
      </c>
      <c r="L138" s="275"/>
      <c r="M138" s="275"/>
      <c r="N138" s="275"/>
      <c r="O138" s="275">
        <f>(F138+I138+J138+M138)*0.25</f>
        <v>0.7424999999999999</v>
      </c>
      <c r="P138" s="275"/>
      <c r="Q138" s="275"/>
      <c r="R138" s="275"/>
      <c r="S138" s="276"/>
      <c r="T138" s="275">
        <f>(F138+I138+J138)*30%</f>
        <v>0.8909999999999999</v>
      </c>
      <c r="U138" s="275"/>
      <c r="V138" s="275"/>
      <c r="W138" s="275"/>
      <c r="X138" s="275">
        <f>(F138+I138+J138+M138)*0.225</f>
        <v>0.66825</v>
      </c>
      <c r="Y138" s="278">
        <f>E138*1490000*12</f>
        <v>133326690</v>
      </c>
      <c r="Z138" s="284"/>
      <c r="AA138" s="303">
        <f>AB138+AC138+AS138</f>
        <v>2.8665</v>
      </c>
      <c r="AB138" s="303">
        <v>2.34</v>
      </c>
      <c r="AC138" s="303">
        <f>SUM(AD138:AR138)</f>
        <v>0</v>
      </c>
      <c r="AD138" s="303">
        <v>0</v>
      </c>
      <c r="AE138" s="284">
        <v>0</v>
      </c>
      <c r="AF138" s="284"/>
      <c r="AG138" s="303">
        <v>0</v>
      </c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433">
        <f>(AB138+AE138)*22.5%</f>
        <v>0.5265</v>
      </c>
      <c r="AT138" s="304">
        <f>AA138*12*1490000</f>
        <v>51253019.99999999</v>
      </c>
      <c r="AU138" s="11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</row>
    <row r="139" spans="1:75" ht="15.75">
      <c r="A139" s="371">
        <v>2</v>
      </c>
      <c r="B139" s="338" t="s">
        <v>20</v>
      </c>
      <c r="C139" s="421"/>
      <c r="D139" s="421"/>
      <c r="E139" s="275">
        <f>F139+G139+X139</f>
        <v>5.9325</v>
      </c>
      <c r="F139" s="372">
        <v>2.1</v>
      </c>
      <c r="G139" s="275">
        <f>H139+I139+J139+K139+L139+M139+N139+O139+P139+Q139+R139+S139+T139+U139+W139</f>
        <v>3.315</v>
      </c>
      <c r="H139" s="275">
        <v>0.7</v>
      </c>
      <c r="I139" s="275">
        <v>0.2</v>
      </c>
      <c r="J139" s="275"/>
      <c r="K139" s="275">
        <f>(F139+I139+J139)*0.5</f>
        <v>1.1500000000000001</v>
      </c>
      <c r="L139" s="275"/>
      <c r="M139" s="275"/>
      <c r="N139" s="275"/>
      <c r="O139" s="275">
        <f>(F139+I139+J139+M139)*0.25</f>
        <v>0.5750000000000001</v>
      </c>
      <c r="P139" s="275"/>
      <c r="Q139" s="275"/>
      <c r="R139" s="275"/>
      <c r="S139" s="276"/>
      <c r="T139" s="275">
        <f>(F139+I139+J139)*30%</f>
        <v>0.6900000000000001</v>
      </c>
      <c r="U139" s="275"/>
      <c r="V139" s="275"/>
      <c r="W139" s="275"/>
      <c r="X139" s="275">
        <f>(F139+I139+J139+M139)*0.225</f>
        <v>0.5175000000000001</v>
      </c>
      <c r="Y139" s="278">
        <f>E139*1490000*12</f>
        <v>106073100</v>
      </c>
      <c r="Z139" s="378">
        <v>2</v>
      </c>
      <c r="AA139" s="378">
        <f aca="true" t="shared" si="100" ref="AA139:AR139">SUM(AA140:AA142)</f>
        <v>25.82825</v>
      </c>
      <c r="AB139" s="378">
        <f t="shared" si="100"/>
        <v>9.629999999999999</v>
      </c>
      <c r="AC139" s="378">
        <f t="shared" si="100"/>
        <v>13.8515</v>
      </c>
      <c r="AD139" s="378">
        <f t="shared" si="100"/>
        <v>2.0999999999999996</v>
      </c>
      <c r="AE139" s="378">
        <f t="shared" si="100"/>
        <v>0.8</v>
      </c>
      <c r="AF139" s="378">
        <f t="shared" si="100"/>
        <v>0</v>
      </c>
      <c r="AG139" s="378">
        <f t="shared" si="100"/>
        <v>5.215</v>
      </c>
      <c r="AH139" s="378">
        <f t="shared" si="100"/>
        <v>0</v>
      </c>
      <c r="AI139" s="378">
        <f t="shared" si="100"/>
        <v>0</v>
      </c>
      <c r="AJ139" s="378">
        <f t="shared" si="100"/>
        <v>0</v>
      </c>
      <c r="AK139" s="378">
        <f t="shared" si="100"/>
        <v>2.6075</v>
      </c>
      <c r="AL139" s="378">
        <f t="shared" si="100"/>
        <v>0</v>
      </c>
      <c r="AM139" s="378">
        <f t="shared" si="100"/>
        <v>0</v>
      </c>
      <c r="AN139" s="378">
        <f t="shared" si="100"/>
        <v>0</v>
      </c>
      <c r="AO139" s="378">
        <f t="shared" si="100"/>
        <v>0</v>
      </c>
      <c r="AP139" s="378">
        <f t="shared" si="100"/>
        <v>3.1289999999999996</v>
      </c>
      <c r="AQ139" s="378">
        <f t="shared" si="100"/>
        <v>0</v>
      </c>
      <c r="AR139" s="378">
        <f t="shared" si="100"/>
        <v>0</v>
      </c>
      <c r="AS139" s="449">
        <f>SUM(AS140:AS142)</f>
        <v>2.34675</v>
      </c>
      <c r="AT139" s="388">
        <f>SUM(AT140:AT142)</f>
        <v>289127422.5</v>
      </c>
      <c r="AU139" s="11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</row>
    <row r="140" spans="1:75" ht="15.75">
      <c r="A140" s="371">
        <v>3</v>
      </c>
      <c r="B140" s="338" t="s">
        <v>67</v>
      </c>
      <c r="C140" s="421"/>
      <c r="D140" s="421"/>
      <c r="E140" s="275">
        <f>F140+G140+X140</f>
        <v>6.0235</v>
      </c>
      <c r="F140" s="372">
        <v>2.34</v>
      </c>
      <c r="G140" s="275">
        <f>H140+I140+J140+K140+L140+M140+N140+O140+P140+Q140+R140+S140+T140+U140+W140</f>
        <v>3.157</v>
      </c>
      <c r="H140" s="275">
        <v>0.7</v>
      </c>
      <c r="I140" s="275"/>
      <c r="J140" s="275"/>
      <c r="K140" s="275">
        <f>(F140+I140+J140)*0.5</f>
        <v>1.17</v>
      </c>
      <c r="L140" s="275"/>
      <c r="M140" s="275"/>
      <c r="N140" s="275"/>
      <c r="O140" s="275">
        <f>(F140+I140+J140+M140)*0.25</f>
        <v>0.585</v>
      </c>
      <c r="P140" s="275"/>
      <c r="Q140" s="275"/>
      <c r="R140" s="275"/>
      <c r="S140" s="276"/>
      <c r="T140" s="275">
        <f>(F140+I140+J140)*30%</f>
        <v>0.702</v>
      </c>
      <c r="U140" s="275"/>
      <c r="V140" s="275"/>
      <c r="W140" s="275"/>
      <c r="X140" s="275">
        <f>(F140+I140+J140+M140)*0.225</f>
        <v>0.5265</v>
      </c>
      <c r="Y140" s="278">
        <f>E140*1490000*12</f>
        <v>107700180</v>
      </c>
      <c r="Z140" s="389"/>
      <c r="AA140" s="390">
        <f>AB140+AC140+AS140</f>
        <v>7.4567499999999995</v>
      </c>
      <c r="AB140" s="391">
        <v>2.67</v>
      </c>
      <c r="AC140" s="390">
        <f>SUM(AD140:AR140)</f>
        <v>4.1185</v>
      </c>
      <c r="AD140" s="390">
        <v>0.7</v>
      </c>
      <c r="AE140" s="392">
        <v>0.3</v>
      </c>
      <c r="AF140" s="390"/>
      <c r="AG140" s="390">
        <f>(AB140+AE140)*50%</f>
        <v>1.4849999999999999</v>
      </c>
      <c r="AH140" s="390"/>
      <c r="AI140" s="390"/>
      <c r="AJ140" s="390"/>
      <c r="AK140" s="390">
        <f>(AB140+AE140)*25%</f>
        <v>0.7424999999999999</v>
      </c>
      <c r="AL140" s="390"/>
      <c r="AM140" s="390"/>
      <c r="AN140" s="390"/>
      <c r="AO140" s="390"/>
      <c r="AP140" s="390">
        <f>(AB140+AE140)*30%</f>
        <v>0.8909999999999999</v>
      </c>
      <c r="AQ140" s="390"/>
      <c r="AR140" s="390"/>
      <c r="AS140" s="450">
        <f>(AB140+AE140)*22.5%</f>
        <v>0.66825</v>
      </c>
      <c r="AT140" s="393">
        <f>AA140*9*1490000</f>
        <v>99995017.5</v>
      </c>
      <c r="AU140" s="11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</row>
    <row r="141" spans="1:75" ht="15.75">
      <c r="A141" s="371" t="s">
        <v>66</v>
      </c>
      <c r="B141" s="267" t="s">
        <v>65</v>
      </c>
      <c r="C141" s="420">
        <v>1</v>
      </c>
      <c r="D141" s="420">
        <v>1</v>
      </c>
      <c r="E141" s="270">
        <f aca="true" t="shared" si="101" ref="E141:X141">SUM(E142:E142)</f>
        <v>8.958250000000001</v>
      </c>
      <c r="F141" s="270">
        <f t="shared" si="101"/>
        <v>3.33</v>
      </c>
      <c r="G141" s="270">
        <f t="shared" si="101"/>
        <v>4.8115000000000006</v>
      </c>
      <c r="H141" s="270">
        <f t="shared" si="101"/>
        <v>0.7</v>
      </c>
      <c r="I141" s="270">
        <f t="shared" si="101"/>
        <v>0.3</v>
      </c>
      <c r="J141" s="270">
        <f t="shared" si="101"/>
        <v>0</v>
      </c>
      <c r="K141" s="270">
        <f t="shared" si="101"/>
        <v>1.815</v>
      </c>
      <c r="L141" s="270">
        <f t="shared" si="101"/>
        <v>0</v>
      </c>
      <c r="M141" s="270">
        <f t="shared" si="101"/>
        <v>0</v>
      </c>
      <c r="N141" s="270">
        <f t="shared" si="101"/>
        <v>0</v>
      </c>
      <c r="O141" s="270">
        <f t="shared" si="101"/>
        <v>0.9075</v>
      </c>
      <c r="P141" s="270">
        <f t="shared" si="101"/>
        <v>0</v>
      </c>
      <c r="Q141" s="270">
        <f t="shared" si="101"/>
        <v>0</v>
      </c>
      <c r="R141" s="270">
        <f t="shared" si="101"/>
        <v>0</v>
      </c>
      <c r="S141" s="270">
        <f t="shared" si="101"/>
        <v>0</v>
      </c>
      <c r="T141" s="270">
        <f t="shared" si="101"/>
        <v>1.089</v>
      </c>
      <c r="U141" s="270">
        <f t="shared" si="101"/>
        <v>0</v>
      </c>
      <c r="V141" s="270">
        <f t="shared" si="101"/>
        <v>0</v>
      </c>
      <c r="W141" s="270">
        <f t="shared" si="101"/>
        <v>0</v>
      </c>
      <c r="X141" s="270">
        <f t="shared" si="101"/>
        <v>0.81675</v>
      </c>
      <c r="Y141" s="270">
        <f>ROUNDUP(SUM(Y142:Y142),0)</f>
        <v>160173510</v>
      </c>
      <c r="Z141" s="389"/>
      <c r="AA141" s="390">
        <f>AB141+AC141+AS141</f>
        <v>10.3915</v>
      </c>
      <c r="AB141" s="391">
        <v>3.96</v>
      </c>
      <c r="AC141" s="390">
        <f>SUM(AD141:AR141)</f>
        <v>5.473</v>
      </c>
      <c r="AD141" s="390">
        <v>0.7</v>
      </c>
      <c r="AE141" s="392">
        <v>0.3</v>
      </c>
      <c r="AF141" s="390"/>
      <c r="AG141" s="390">
        <f>(AB141+AE141)*50%</f>
        <v>2.13</v>
      </c>
      <c r="AH141" s="390"/>
      <c r="AI141" s="390"/>
      <c r="AJ141" s="390"/>
      <c r="AK141" s="390">
        <f>(AB141+AE141)*25%</f>
        <v>1.065</v>
      </c>
      <c r="AL141" s="390"/>
      <c r="AM141" s="390"/>
      <c r="AN141" s="390"/>
      <c r="AO141" s="390"/>
      <c r="AP141" s="390">
        <f>(AB141+AE141)*30%</f>
        <v>1.2779999999999998</v>
      </c>
      <c r="AQ141" s="390"/>
      <c r="AR141" s="390"/>
      <c r="AS141" s="450">
        <f>(AB141+AE141)*22.5%</f>
        <v>0.9585</v>
      </c>
      <c r="AT141" s="393">
        <f>AA141*1490000*3</f>
        <v>46450005</v>
      </c>
      <c r="AU141" s="11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</row>
    <row r="142" spans="1:75" ht="15.75">
      <c r="A142" s="371">
        <v>1</v>
      </c>
      <c r="B142" s="338" t="s">
        <v>64</v>
      </c>
      <c r="C142" s="421"/>
      <c r="D142" s="421"/>
      <c r="E142" s="275">
        <f>F142+G142+X142</f>
        <v>8.958250000000001</v>
      </c>
      <c r="F142" s="372">
        <v>3.33</v>
      </c>
      <c r="G142" s="275">
        <f>H142+I142+J142+K142+L142+M142+N142+O142+P142+Q142+R142+S142+T142+U142+W142</f>
        <v>4.8115000000000006</v>
      </c>
      <c r="H142" s="275">
        <v>0.7</v>
      </c>
      <c r="I142" s="275">
        <v>0.3</v>
      </c>
      <c r="J142" s="275"/>
      <c r="K142" s="275">
        <f>(F142+I142+J142)*0.5</f>
        <v>1.815</v>
      </c>
      <c r="L142" s="275"/>
      <c r="M142" s="275"/>
      <c r="N142" s="275"/>
      <c r="O142" s="275">
        <f>(F142+I142+J142+M142)*0.25</f>
        <v>0.9075</v>
      </c>
      <c r="P142" s="275"/>
      <c r="Q142" s="275"/>
      <c r="R142" s="275"/>
      <c r="S142" s="276"/>
      <c r="T142" s="275">
        <f>(F142+I142+J142)*30%</f>
        <v>1.089</v>
      </c>
      <c r="U142" s="275"/>
      <c r="V142" s="275"/>
      <c r="W142" s="275"/>
      <c r="X142" s="275">
        <f>(F142+I142)*0.225</f>
        <v>0.81675</v>
      </c>
      <c r="Y142" s="278">
        <f>E142*1490000*12</f>
        <v>160173510.00000003</v>
      </c>
      <c r="Z142" s="394"/>
      <c r="AA142" s="390">
        <f>AB142+AC142+AS142</f>
        <v>7.9799999999999995</v>
      </c>
      <c r="AB142" s="391">
        <v>3</v>
      </c>
      <c r="AC142" s="390">
        <f>SUM(AD142:AR142)</f>
        <v>4.26</v>
      </c>
      <c r="AD142" s="390">
        <v>0.7</v>
      </c>
      <c r="AE142" s="392">
        <v>0.2</v>
      </c>
      <c r="AF142" s="395"/>
      <c r="AG142" s="390">
        <f>(AB142+AE142)*50%</f>
        <v>1.6</v>
      </c>
      <c r="AH142" s="395"/>
      <c r="AI142" s="395"/>
      <c r="AJ142" s="395"/>
      <c r="AK142" s="390">
        <f>(AB142+AE142)*25%</f>
        <v>0.8</v>
      </c>
      <c r="AL142" s="395"/>
      <c r="AM142" s="395"/>
      <c r="AN142" s="395"/>
      <c r="AO142" s="395"/>
      <c r="AP142" s="390">
        <f>(AB142+AE142)*30%</f>
        <v>0.96</v>
      </c>
      <c r="AQ142" s="390"/>
      <c r="AR142" s="395"/>
      <c r="AS142" s="450">
        <f>(AB142+AE142)*22.5%</f>
        <v>0.7200000000000001</v>
      </c>
      <c r="AT142" s="393">
        <f>AA142*12*1490000</f>
        <v>142682400</v>
      </c>
      <c r="AU142" s="11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</row>
    <row r="143" spans="1:75" ht="31.5">
      <c r="A143" s="396" t="s">
        <v>5</v>
      </c>
      <c r="B143" s="397" t="s">
        <v>63</v>
      </c>
      <c r="C143" s="420"/>
      <c r="D143" s="420"/>
      <c r="E143" s="270">
        <f aca="true" t="shared" si="102" ref="E143:Y143">+E144</f>
        <v>10.800000000000004</v>
      </c>
      <c r="F143" s="270">
        <f t="shared" si="102"/>
        <v>0</v>
      </c>
      <c r="G143" s="270">
        <f t="shared" si="102"/>
        <v>10.800000000000004</v>
      </c>
      <c r="H143" s="270">
        <f t="shared" si="102"/>
        <v>0</v>
      </c>
      <c r="I143" s="270">
        <f t="shared" si="102"/>
        <v>0</v>
      </c>
      <c r="J143" s="270">
        <f t="shared" si="102"/>
        <v>0</v>
      </c>
      <c r="K143" s="270">
        <f t="shared" si="102"/>
        <v>0</v>
      </c>
      <c r="L143" s="270">
        <f t="shared" si="102"/>
        <v>0</v>
      </c>
      <c r="M143" s="270">
        <f t="shared" si="102"/>
        <v>0</v>
      </c>
      <c r="N143" s="270">
        <f t="shared" si="102"/>
        <v>0</v>
      </c>
      <c r="O143" s="270">
        <f t="shared" si="102"/>
        <v>0</v>
      </c>
      <c r="P143" s="270">
        <f t="shared" si="102"/>
        <v>0</v>
      </c>
      <c r="Q143" s="270">
        <f t="shared" si="102"/>
        <v>0</v>
      </c>
      <c r="R143" s="270">
        <f t="shared" si="102"/>
        <v>0</v>
      </c>
      <c r="S143" s="270">
        <f t="shared" si="102"/>
        <v>10.800000000000004</v>
      </c>
      <c r="T143" s="270">
        <f t="shared" si="102"/>
        <v>0</v>
      </c>
      <c r="U143" s="270">
        <f t="shared" si="102"/>
        <v>0</v>
      </c>
      <c r="V143" s="270">
        <f t="shared" si="102"/>
        <v>0</v>
      </c>
      <c r="W143" s="270">
        <f t="shared" si="102"/>
        <v>0</v>
      </c>
      <c r="X143" s="270">
        <f t="shared" si="102"/>
        <v>0</v>
      </c>
      <c r="Y143" s="270">
        <f t="shared" si="102"/>
        <v>193104000</v>
      </c>
      <c r="Z143" s="398">
        <v>1</v>
      </c>
      <c r="AA143" s="378">
        <f>AA144</f>
        <v>8.958250000000001</v>
      </c>
      <c r="AB143" s="378">
        <f aca="true" t="shared" si="103" ref="AB143:AS143">AB144</f>
        <v>3.33</v>
      </c>
      <c r="AC143" s="378">
        <f t="shared" si="103"/>
        <v>4.8115000000000006</v>
      </c>
      <c r="AD143" s="378">
        <f t="shared" si="103"/>
        <v>0.7</v>
      </c>
      <c r="AE143" s="378">
        <f t="shared" si="103"/>
        <v>0.3</v>
      </c>
      <c r="AF143" s="378">
        <f t="shared" si="103"/>
        <v>0</v>
      </c>
      <c r="AG143" s="378">
        <f t="shared" si="103"/>
        <v>1.815</v>
      </c>
      <c r="AH143" s="378">
        <f t="shared" si="103"/>
        <v>0</v>
      </c>
      <c r="AI143" s="378">
        <f t="shared" si="103"/>
        <v>0</v>
      </c>
      <c r="AJ143" s="378">
        <f t="shared" si="103"/>
        <v>0</v>
      </c>
      <c r="AK143" s="378">
        <f t="shared" si="103"/>
        <v>0.9075</v>
      </c>
      <c r="AL143" s="378">
        <f t="shared" si="103"/>
        <v>0</v>
      </c>
      <c r="AM143" s="378">
        <f t="shared" si="103"/>
        <v>0</v>
      </c>
      <c r="AN143" s="378">
        <f t="shared" si="103"/>
        <v>0</v>
      </c>
      <c r="AO143" s="378">
        <f t="shared" si="103"/>
        <v>0</v>
      </c>
      <c r="AP143" s="378">
        <f t="shared" si="103"/>
        <v>1.089</v>
      </c>
      <c r="AQ143" s="378">
        <f t="shared" si="103"/>
        <v>0</v>
      </c>
      <c r="AR143" s="378">
        <f t="shared" si="103"/>
        <v>0</v>
      </c>
      <c r="AS143" s="446">
        <f t="shared" si="103"/>
        <v>0.81675</v>
      </c>
      <c r="AT143" s="378">
        <f>AT144</f>
        <v>160173510.00000003</v>
      </c>
      <c r="AU143" s="11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</row>
    <row r="144" spans="1:75" ht="15.75">
      <c r="A144" s="399"/>
      <c r="B144" s="397" t="s">
        <v>62</v>
      </c>
      <c r="C144" s="420"/>
      <c r="D144" s="420"/>
      <c r="E144" s="275">
        <f aca="true" t="shared" si="104" ref="E144:U144">E145</f>
        <v>10.800000000000004</v>
      </c>
      <c r="F144" s="275">
        <f t="shared" si="104"/>
        <v>0</v>
      </c>
      <c r="G144" s="275">
        <f t="shared" si="104"/>
        <v>10.800000000000004</v>
      </c>
      <c r="H144" s="275">
        <f t="shared" si="104"/>
        <v>0</v>
      </c>
      <c r="I144" s="275">
        <f t="shared" si="104"/>
        <v>0</v>
      </c>
      <c r="J144" s="275">
        <f t="shared" si="104"/>
        <v>0</v>
      </c>
      <c r="K144" s="275">
        <f t="shared" si="104"/>
        <v>0</v>
      </c>
      <c r="L144" s="275">
        <f t="shared" si="104"/>
        <v>0</v>
      </c>
      <c r="M144" s="275">
        <f t="shared" si="104"/>
        <v>0</v>
      </c>
      <c r="N144" s="275">
        <f t="shared" si="104"/>
        <v>0</v>
      </c>
      <c r="O144" s="275">
        <f t="shared" si="104"/>
        <v>0</v>
      </c>
      <c r="P144" s="275">
        <f t="shared" si="104"/>
        <v>0</v>
      </c>
      <c r="Q144" s="275">
        <f t="shared" si="104"/>
        <v>0</v>
      </c>
      <c r="R144" s="275">
        <f t="shared" si="104"/>
        <v>0</v>
      </c>
      <c r="S144" s="275">
        <f t="shared" si="104"/>
        <v>10.800000000000004</v>
      </c>
      <c r="T144" s="275">
        <f t="shared" si="104"/>
        <v>0</v>
      </c>
      <c r="U144" s="275">
        <f t="shared" si="104"/>
        <v>0</v>
      </c>
      <c r="V144" s="275"/>
      <c r="W144" s="275">
        <f>W145</f>
        <v>0</v>
      </c>
      <c r="X144" s="275">
        <f>X145</f>
        <v>0</v>
      </c>
      <c r="Y144" s="278">
        <f>Y145</f>
        <v>193104000</v>
      </c>
      <c r="Z144" s="284"/>
      <c r="AA144" s="303">
        <f>AB144+AC144+AS144</f>
        <v>8.958250000000001</v>
      </c>
      <c r="AB144" s="381">
        <v>3.33</v>
      </c>
      <c r="AC144" s="303">
        <f>SUM(AD144:AR144)</f>
        <v>4.8115000000000006</v>
      </c>
      <c r="AD144" s="303">
        <v>0.7</v>
      </c>
      <c r="AE144" s="382">
        <v>0.3</v>
      </c>
      <c r="AF144" s="303"/>
      <c r="AG144" s="303">
        <f>(AB144+AE144)*50%</f>
        <v>1.815</v>
      </c>
      <c r="AH144" s="303"/>
      <c r="AI144" s="303"/>
      <c r="AJ144" s="303"/>
      <c r="AK144" s="303">
        <f>(AB144+AE144)*25%</f>
        <v>0.9075</v>
      </c>
      <c r="AL144" s="303"/>
      <c r="AM144" s="303"/>
      <c r="AN144" s="303"/>
      <c r="AO144" s="303"/>
      <c r="AP144" s="303">
        <f>(AB144+AE144)*30%</f>
        <v>1.089</v>
      </c>
      <c r="AQ144" s="303"/>
      <c r="AR144" s="303"/>
      <c r="AS144" s="433">
        <f>(AB144+AE144)*22.5%</f>
        <v>0.81675</v>
      </c>
      <c r="AT144" s="304">
        <f>AA144*12*1490000</f>
        <v>160173510.00000003</v>
      </c>
      <c r="AU144" s="11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</row>
    <row r="145" spans="1:75" ht="31.5">
      <c r="A145" s="399">
        <v>1</v>
      </c>
      <c r="B145" s="397" t="s">
        <v>61</v>
      </c>
      <c r="C145" s="420"/>
      <c r="D145" s="420"/>
      <c r="E145" s="270">
        <f aca="true" t="shared" si="105" ref="E145:U145">SUM(E146:E172)</f>
        <v>10.800000000000004</v>
      </c>
      <c r="F145" s="277">
        <f t="shared" si="105"/>
        <v>0</v>
      </c>
      <c r="G145" s="270">
        <f t="shared" si="105"/>
        <v>10.800000000000004</v>
      </c>
      <c r="H145" s="270">
        <f t="shared" si="105"/>
        <v>0</v>
      </c>
      <c r="I145" s="270">
        <f t="shared" si="105"/>
        <v>0</v>
      </c>
      <c r="J145" s="270">
        <f t="shared" si="105"/>
        <v>0</v>
      </c>
      <c r="K145" s="270">
        <f t="shared" si="105"/>
        <v>0</v>
      </c>
      <c r="L145" s="270">
        <f t="shared" si="105"/>
        <v>0</v>
      </c>
      <c r="M145" s="270">
        <f t="shared" si="105"/>
        <v>0</v>
      </c>
      <c r="N145" s="270">
        <f t="shared" si="105"/>
        <v>0</v>
      </c>
      <c r="O145" s="270">
        <f t="shared" si="105"/>
        <v>0</v>
      </c>
      <c r="P145" s="270">
        <f t="shared" si="105"/>
        <v>0</v>
      </c>
      <c r="Q145" s="270">
        <f t="shared" si="105"/>
        <v>0</v>
      </c>
      <c r="R145" s="270">
        <f t="shared" si="105"/>
        <v>0</v>
      </c>
      <c r="S145" s="277">
        <f t="shared" si="105"/>
        <v>10.800000000000004</v>
      </c>
      <c r="T145" s="270">
        <f t="shared" si="105"/>
        <v>0</v>
      </c>
      <c r="U145" s="270">
        <f t="shared" si="105"/>
        <v>0</v>
      </c>
      <c r="V145" s="270"/>
      <c r="W145" s="270">
        <f>SUM(W146:W172)</f>
        <v>0</v>
      </c>
      <c r="X145" s="270">
        <f>SUM(X146:X172)</f>
        <v>0</v>
      </c>
      <c r="Y145" s="271">
        <f>SUM(Y146:Y172)</f>
        <v>193104000</v>
      </c>
      <c r="Z145" s="398">
        <v>3</v>
      </c>
      <c r="AA145" s="378">
        <f>SUM(AA146:AA150)</f>
        <v>29.053499999999996</v>
      </c>
      <c r="AB145" s="378">
        <f aca="true" t="shared" si="106" ref="AB145:AS145">SUM(AB146:AB150)</f>
        <v>12.12</v>
      </c>
      <c r="AC145" s="378">
        <f t="shared" si="106"/>
        <v>14.094000000000001</v>
      </c>
      <c r="AD145" s="378">
        <f t="shared" si="106"/>
        <v>2.8</v>
      </c>
      <c r="AE145" s="378">
        <f t="shared" si="106"/>
        <v>0.5</v>
      </c>
      <c r="AF145" s="378">
        <f t="shared" si="106"/>
        <v>0</v>
      </c>
      <c r="AG145" s="378">
        <f t="shared" si="106"/>
        <v>5.140000000000001</v>
      </c>
      <c r="AH145" s="378">
        <f t="shared" si="106"/>
        <v>0</v>
      </c>
      <c r="AI145" s="378">
        <f t="shared" si="106"/>
        <v>0</v>
      </c>
      <c r="AJ145" s="378">
        <f t="shared" si="106"/>
        <v>0</v>
      </c>
      <c r="AK145" s="378">
        <f t="shared" si="106"/>
        <v>2.5700000000000003</v>
      </c>
      <c r="AL145" s="378">
        <f t="shared" si="106"/>
        <v>0</v>
      </c>
      <c r="AM145" s="378">
        <f t="shared" si="106"/>
        <v>0</v>
      </c>
      <c r="AN145" s="378">
        <f t="shared" si="106"/>
        <v>0</v>
      </c>
      <c r="AO145" s="378">
        <f t="shared" si="106"/>
        <v>0</v>
      </c>
      <c r="AP145" s="378">
        <f t="shared" si="106"/>
        <v>3.0839999999999996</v>
      </c>
      <c r="AQ145" s="378">
        <f t="shared" si="106"/>
        <v>0</v>
      </c>
      <c r="AR145" s="378">
        <f t="shared" si="106"/>
        <v>0</v>
      </c>
      <c r="AS145" s="446">
        <f t="shared" si="106"/>
        <v>2.8395</v>
      </c>
      <c r="AT145" s="378">
        <f>SUM(AT146:AT150)</f>
        <v>277662245</v>
      </c>
      <c r="AU145" s="11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</row>
    <row r="146" spans="1:75" ht="15.75">
      <c r="A146" s="400">
        <v>1</v>
      </c>
      <c r="B146" s="401" t="s">
        <v>36</v>
      </c>
      <c r="C146" s="421"/>
      <c r="D146" s="421"/>
      <c r="E146" s="275">
        <f aca="true" t="shared" si="107" ref="E146:E172">F146+G146+X146</f>
        <v>0.4</v>
      </c>
      <c r="F146" s="276"/>
      <c r="G146" s="275">
        <f aca="true" t="shared" si="108" ref="G146:G172">H146+I146+J146+K146+L146+M146+N146+O146+P146+Q146+R146+S146+T146+U146+W146</f>
        <v>0.4</v>
      </c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6">
        <v>0.4</v>
      </c>
      <c r="T146" s="275"/>
      <c r="U146" s="275"/>
      <c r="V146" s="275"/>
      <c r="W146" s="275"/>
      <c r="X146" s="275"/>
      <c r="Y146" s="278">
        <f aca="true" t="shared" si="109" ref="Y146:Y172">E146*1490000*12</f>
        <v>7152000</v>
      </c>
      <c r="Z146" s="284"/>
      <c r="AA146" s="303">
        <f>AB146+AC146+AS146</f>
        <v>5.9325</v>
      </c>
      <c r="AB146" s="402">
        <v>2.1</v>
      </c>
      <c r="AC146" s="303">
        <f>SUM(AD146:AR146)</f>
        <v>3.315</v>
      </c>
      <c r="AD146" s="303">
        <v>0.7</v>
      </c>
      <c r="AE146" s="382">
        <v>0.2</v>
      </c>
      <c r="AF146" s="303"/>
      <c r="AG146" s="303">
        <f>(AB146+AE146)*50%</f>
        <v>1.1500000000000001</v>
      </c>
      <c r="AH146" s="303"/>
      <c r="AI146" s="303"/>
      <c r="AJ146" s="303"/>
      <c r="AK146" s="303">
        <f>(AB146+AE146)*25%</f>
        <v>0.5750000000000001</v>
      </c>
      <c r="AL146" s="303"/>
      <c r="AM146" s="303"/>
      <c r="AN146" s="303"/>
      <c r="AO146" s="303"/>
      <c r="AP146" s="303">
        <f>(AB146+AE146)*30%</f>
        <v>0.6900000000000001</v>
      </c>
      <c r="AQ146" s="303"/>
      <c r="AR146" s="303"/>
      <c r="AS146" s="433">
        <f>(AB146+AE146)*22.5%</f>
        <v>0.5175000000000001</v>
      </c>
      <c r="AT146" s="304">
        <f>AA146*12*1490000</f>
        <v>106073100</v>
      </c>
      <c r="AU146" s="13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</row>
    <row r="147" spans="1:75" ht="15.75">
      <c r="A147" s="400">
        <v>2</v>
      </c>
      <c r="B147" s="401" t="s">
        <v>60</v>
      </c>
      <c r="C147" s="421"/>
      <c r="D147" s="421"/>
      <c r="E147" s="275">
        <f t="shared" si="107"/>
        <v>0.4</v>
      </c>
      <c r="F147" s="276"/>
      <c r="G147" s="275">
        <f t="shared" si="108"/>
        <v>0.4</v>
      </c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6">
        <v>0.4</v>
      </c>
      <c r="T147" s="275"/>
      <c r="U147" s="275"/>
      <c r="V147" s="275"/>
      <c r="W147" s="275"/>
      <c r="X147" s="275"/>
      <c r="Y147" s="278">
        <f t="shared" si="109"/>
        <v>7152000</v>
      </c>
      <c r="Z147" s="305"/>
      <c r="AA147" s="303">
        <f>AB147+AC147+AS147</f>
        <v>6.0235</v>
      </c>
      <c r="AB147" s="402">
        <v>2.34</v>
      </c>
      <c r="AC147" s="303">
        <f>SUM(AD147:AR147)</f>
        <v>3.157</v>
      </c>
      <c r="AD147" s="303">
        <v>0.7</v>
      </c>
      <c r="AE147" s="382"/>
      <c r="AF147" s="306"/>
      <c r="AG147" s="303">
        <f>(AB147+AE147)*50%</f>
        <v>1.17</v>
      </c>
      <c r="AH147" s="306"/>
      <c r="AI147" s="306"/>
      <c r="AJ147" s="306"/>
      <c r="AK147" s="303">
        <f>(AB147+AE147)*25%</f>
        <v>0.585</v>
      </c>
      <c r="AL147" s="303"/>
      <c r="AM147" s="306"/>
      <c r="AN147" s="306"/>
      <c r="AO147" s="306"/>
      <c r="AP147" s="303">
        <f>(AB147+AE147)*30%</f>
        <v>0.702</v>
      </c>
      <c r="AQ147" s="303"/>
      <c r="AR147" s="306"/>
      <c r="AS147" s="433">
        <f>(AB147+AE147)*22.5%</f>
        <v>0.5265</v>
      </c>
      <c r="AT147" s="304">
        <f>AA147*1*1490000</f>
        <v>8975015</v>
      </c>
      <c r="AU147" s="13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</row>
    <row r="148" spans="1:75" ht="15.75">
      <c r="A148" s="400">
        <v>3</v>
      </c>
      <c r="B148" s="401" t="s">
        <v>32</v>
      </c>
      <c r="C148" s="421"/>
      <c r="D148" s="421"/>
      <c r="E148" s="275">
        <f t="shared" si="107"/>
        <v>0.4</v>
      </c>
      <c r="F148" s="276"/>
      <c r="G148" s="275">
        <f t="shared" si="108"/>
        <v>0.4</v>
      </c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6">
        <v>0.4</v>
      </c>
      <c r="T148" s="275"/>
      <c r="U148" s="275"/>
      <c r="V148" s="275"/>
      <c r="W148" s="275"/>
      <c r="X148" s="275"/>
      <c r="Y148" s="278">
        <f t="shared" si="109"/>
        <v>7152000</v>
      </c>
      <c r="Z148" s="305"/>
      <c r="AA148" s="303">
        <f>AB148+AC148+AS148</f>
        <v>6.774249999999999</v>
      </c>
      <c r="AB148" s="403">
        <v>2.67</v>
      </c>
      <c r="AC148" s="303">
        <f>SUM(AD148:AR148)</f>
        <v>3.5035</v>
      </c>
      <c r="AD148" s="303">
        <v>0.7</v>
      </c>
      <c r="AE148" s="404"/>
      <c r="AF148" s="306"/>
      <c r="AG148" s="303">
        <f>(AB148+AE148)*50%</f>
        <v>1.335</v>
      </c>
      <c r="AH148" s="306"/>
      <c r="AI148" s="306"/>
      <c r="AJ148" s="306"/>
      <c r="AK148" s="303">
        <f>(AB148+AE148)*25%</f>
        <v>0.6675</v>
      </c>
      <c r="AL148" s="306"/>
      <c r="AM148" s="306"/>
      <c r="AN148" s="306"/>
      <c r="AO148" s="306"/>
      <c r="AP148" s="303">
        <f>(AB148+AE148)*30%</f>
        <v>0.8009999999999999</v>
      </c>
      <c r="AQ148" s="303"/>
      <c r="AR148" s="306"/>
      <c r="AS148" s="433">
        <f>(AB148+AE148)*22.5%</f>
        <v>0.60075</v>
      </c>
      <c r="AT148" s="304">
        <f>AA148*9*1490000</f>
        <v>90842692.5</v>
      </c>
      <c r="AU148" s="13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</row>
    <row r="149" spans="1:75" ht="15.75">
      <c r="A149" s="400">
        <v>4</v>
      </c>
      <c r="B149" s="401" t="s">
        <v>59</v>
      </c>
      <c r="C149" s="421"/>
      <c r="D149" s="421"/>
      <c r="E149" s="275">
        <f t="shared" si="107"/>
        <v>0.4</v>
      </c>
      <c r="F149" s="276"/>
      <c r="G149" s="275">
        <f t="shared" si="108"/>
        <v>0.4</v>
      </c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6">
        <v>0.4</v>
      </c>
      <c r="T149" s="275"/>
      <c r="U149" s="275"/>
      <c r="V149" s="275"/>
      <c r="W149" s="275"/>
      <c r="X149" s="275"/>
      <c r="Y149" s="278">
        <f t="shared" si="109"/>
        <v>7152000</v>
      </c>
      <c r="Z149" s="284"/>
      <c r="AA149" s="303">
        <f>AB149+AC149+AS149</f>
        <v>2.8665</v>
      </c>
      <c r="AB149" s="303">
        <v>2.34</v>
      </c>
      <c r="AC149" s="303">
        <f>SUM(AD149:AR149)</f>
        <v>0</v>
      </c>
      <c r="AD149" s="303">
        <v>0</v>
      </c>
      <c r="AE149" s="284">
        <v>0</v>
      </c>
      <c r="AF149" s="284"/>
      <c r="AG149" s="303">
        <v>0</v>
      </c>
      <c r="AH149" s="284"/>
      <c r="AI149" s="284"/>
      <c r="AJ149" s="284"/>
      <c r="AK149" s="284"/>
      <c r="AL149" s="284"/>
      <c r="AM149" s="284"/>
      <c r="AN149" s="284"/>
      <c r="AO149" s="284"/>
      <c r="AP149" s="303"/>
      <c r="AQ149" s="284"/>
      <c r="AR149" s="284"/>
      <c r="AS149" s="433">
        <f>(AB149+AE149)*22.5%</f>
        <v>0.5265</v>
      </c>
      <c r="AT149" s="304">
        <f>AA149*9*1490000</f>
        <v>38439764.99999999</v>
      </c>
      <c r="AU149" s="13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</row>
    <row r="150" spans="1:75" ht="15.75">
      <c r="A150" s="400">
        <v>5</v>
      </c>
      <c r="B150" s="401" t="s">
        <v>58</v>
      </c>
      <c r="C150" s="421"/>
      <c r="D150" s="421"/>
      <c r="E150" s="275">
        <f t="shared" si="107"/>
        <v>0.4</v>
      </c>
      <c r="F150" s="276"/>
      <c r="G150" s="275">
        <f t="shared" si="108"/>
        <v>0.4</v>
      </c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6">
        <v>0.4</v>
      </c>
      <c r="T150" s="275"/>
      <c r="U150" s="275"/>
      <c r="V150" s="275"/>
      <c r="W150" s="275"/>
      <c r="X150" s="275"/>
      <c r="Y150" s="278">
        <f t="shared" si="109"/>
        <v>7152000</v>
      </c>
      <c r="Z150" s="405"/>
      <c r="AA150" s="303">
        <f>AB150+AC150+AS150</f>
        <v>7.4567499999999995</v>
      </c>
      <c r="AB150" s="405">
        <v>2.67</v>
      </c>
      <c r="AC150" s="303">
        <f>SUM(AD150:AR150)</f>
        <v>4.1185</v>
      </c>
      <c r="AD150" s="405">
        <v>0.7</v>
      </c>
      <c r="AE150" s="405">
        <v>0.3</v>
      </c>
      <c r="AF150" s="405"/>
      <c r="AG150" s="405">
        <f>(AB150+AE150)*50%</f>
        <v>1.4849999999999999</v>
      </c>
      <c r="AH150" s="405"/>
      <c r="AI150" s="405"/>
      <c r="AJ150" s="405"/>
      <c r="AK150" s="405">
        <f>(AB150+AE150)*25%</f>
        <v>0.7424999999999999</v>
      </c>
      <c r="AL150" s="405"/>
      <c r="AM150" s="405"/>
      <c r="AN150" s="405"/>
      <c r="AO150" s="405"/>
      <c r="AP150" s="303">
        <f>(AB150+AE150)*30%</f>
        <v>0.8909999999999999</v>
      </c>
      <c r="AQ150" s="405"/>
      <c r="AR150" s="405"/>
      <c r="AS150" s="433">
        <f>(AB150+AE150)*22.5%</f>
        <v>0.66825</v>
      </c>
      <c r="AT150" s="406">
        <f>AA150*1490000*3</f>
        <v>33331672.5</v>
      </c>
      <c r="AU150" s="13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</row>
    <row r="151" spans="1:75" ht="15.75">
      <c r="A151" s="400">
        <v>6</v>
      </c>
      <c r="B151" s="401" t="s">
        <v>57</v>
      </c>
      <c r="C151" s="421"/>
      <c r="D151" s="421"/>
      <c r="E151" s="275">
        <f t="shared" si="107"/>
        <v>0.4</v>
      </c>
      <c r="F151" s="276"/>
      <c r="G151" s="275">
        <f t="shared" si="108"/>
        <v>0.4</v>
      </c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6">
        <v>0.4</v>
      </c>
      <c r="T151" s="275"/>
      <c r="U151" s="275"/>
      <c r="V151" s="275"/>
      <c r="W151" s="275"/>
      <c r="X151" s="275"/>
      <c r="Y151" s="278">
        <f t="shared" si="109"/>
        <v>7152000</v>
      </c>
      <c r="Z151" s="407"/>
      <c r="AA151" s="408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407"/>
      <c r="AL151" s="407"/>
      <c r="AM151" s="407"/>
      <c r="AN151" s="407"/>
      <c r="AO151" s="407"/>
      <c r="AP151" s="407"/>
      <c r="AQ151" s="407"/>
      <c r="AR151" s="407"/>
      <c r="AS151" s="407"/>
      <c r="AT151" s="406"/>
      <c r="AU151" s="13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</row>
    <row r="152" spans="1:75" ht="15.75">
      <c r="A152" s="400">
        <v>7</v>
      </c>
      <c r="B152" s="401" t="s">
        <v>23</v>
      </c>
      <c r="C152" s="421"/>
      <c r="D152" s="421"/>
      <c r="E152" s="275">
        <f t="shared" si="107"/>
        <v>0.4</v>
      </c>
      <c r="F152" s="276"/>
      <c r="G152" s="275">
        <f t="shared" si="108"/>
        <v>0.4</v>
      </c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6">
        <v>0.4</v>
      </c>
      <c r="T152" s="275"/>
      <c r="U152" s="275"/>
      <c r="V152" s="275"/>
      <c r="W152" s="275"/>
      <c r="X152" s="275"/>
      <c r="Y152" s="278">
        <f t="shared" si="109"/>
        <v>7152000</v>
      </c>
      <c r="Z152" s="407"/>
      <c r="AA152" s="408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  <c r="AO152" s="407"/>
      <c r="AP152" s="407"/>
      <c r="AQ152" s="407"/>
      <c r="AR152" s="407"/>
      <c r="AS152" s="407"/>
      <c r="AT152" s="406"/>
      <c r="AU152" s="13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spans="1:75" ht="15.75">
      <c r="A153" s="400">
        <v>8</v>
      </c>
      <c r="B153" s="401" t="s">
        <v>56</v>
      </c>
      <c r="C153" s="421"/>
      <c r="D153" s="421"/>
      <c r="E153" s="275">
        <f t="shared" si="107"/>
        <v>0.4</v>
      </c>
      <c r="F153" s="276"/>
      <c r="G153" s="275">
        <f t="shared" si="108"/>
        <v>0.4</v>
      </c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6">
        <v>0.4</v>
      </c>
      <c r="T153" s="275"/>
      <c r="U153" s="275"/>
      <c r="V153" s="275"/>
      <c r="W153" s="275"/>
      <c r="X153" s="275"/>
      <c r="Y153" s="278">
        <f t="shared" si="109"/>
        <v>7152000</v>
      </c>
      <c r="Z153" s="407"/>
      <c r="AA153" s="408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  <c r="AS153" s="407"/>
      <c r="AT153" s="406"/>
      <c r="AU153" s="13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</row>
    <row r="154" spans="1:75" ht="15.75">
      <c r="A154" s="400">
        <v>9</v>
      </c>
      <c r="B154" s="401" t="s">
        <v>55</v>
      </c>
      <c r="C154" s="421"/>
      <c r="D154" s="421"/>
      <c r="E154" s="275">
        <f t="shared" si="107"/>
        <v>0.4</v>
      </c>
      <c r="F154" s="276"/>
      <c r="G154" s="275">
        <f t="shared" si="108"/>
        <v>0.4</v>
      </c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6">
        <v>0.4</v>
      </c>
      <c r="T154" s="275"/>
      <c r="U154" s="275"/>
      <c r="V154" s="275"/>
      <c r="W154" s="275"/>
      <c r="X154" s="275"/>
      <c r="Y154" s="278">
        <f t="shared" si="109"/>
        <v>7152000</v>
      </c>
      <c r="Z154" s="407"/>
      <c r="AA154" s="408"/>
      <c r="AB154" s="407"/>
      <c r="AC154" s="407"/>
      <c r="AD154" s="407"/>
      <c r="AE154" s="407"/>
      <c r="AF154" s="407"/>
      <c r="AG154" s="407"/>
      <c r="AH154" s="407"/>
      <c r="AI154" s="407"/>
      <c r="AJ154" s="407"/>
      <c r="AK154" s="407"/>
      <c r="AL154" s="407"/>
      <c r="AM154" s="407"/>
      <c r="AN154" s="407"/>
      <c r="AO154" s="407"/>
      <c r="AP154" s="407"/>
      <c r="AQ154" s="407"/>
      <c r="AR154" s="407"/>
      <c r="AS154" s="407"/>
      <c r="AT154" s="406"/>
      <c r="AU154" s="13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spans="1:75" ht="15.75">
      <c r="A155" s="400">
        <v>10</v>
      </c>
      <c r="B155" s="401" t="s">
        <v>54</v>
      </c>
      <c r="C155" s="421"/>
      <c r="D155" s="421"/>
      <c r="E155" s="275">
        <f t="shared" si="107"/>
        <v>0.4</v>
      </c>
      <c r="F155" s="276"/>
      <c r="G155" s="275">
        <f t="shared" si="108"/>
        <v>0.4</v>
      </c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6">
        <v>0.4</v>
      </c>
      <c r="T155" s="275"/>
      <c r="U155" s="275"/>
      <c r="V155" s="275"/>
      <c r="W155" s="275"/>
      <c r="X155" s="275"/>
      <c r="Y155" s="278">
        <f t="shared" si="109"/>
        <v>7152000</v>
      </c>
      <c r="Z155" s="407"/>
      <c r="AA155" s="408"/>
      <c r="AB155" s="407"/>
      <c r="AC155" s="407"/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407"/>
      <c r="AN155" s="407"/>
      <c r="AO155" s="407"/>
      <c r="AP155" s="407"/>
      <c r="AQ155" s="407"/>
      <c r="AR155" s="407"/>
      <c r="AS155" s="407"/>
      <c r="AT155" s="406"/>
      <c r="AU155" s="13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</row>
    <row r="156" spans="1:75" ht="15.75">
      <c r="A156" s="400">
        <v>11</v>
      </c>
      <c r="B156" s="401" t="s">
        <v>53</v>
      </c>
      <c r="C156" s="421"/>
      <c r="D156" s="421"/>
      <c r="E156" s="275">
        <f t="shared" si="107"/>
        <v>0.4</v>
      </c>
      <c r="F156" s="276"/>
      <c r="G156" s="275">
        <f t="shared" si="108"/>
        <v>0.4</v>
      </c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6">
        <v>0.4</v>
      </c>
      <c r="T156" s="275"/>
      <c r="U156" s="275"/>
      <c r="V156" s="275"/>
      <c r="W156" s="275"/>
      <c r="X156" s="275"/>
      <c r="Y156" s="278">
        <f t="shared" si="109"/>
        <v>7152000</v>
      </c>
      <c r="Z156" s="407"/>
      <c r="AA156" s="408"/>
      <c r="AB156" s="407"/>
      <c r="AC156" s="407"/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  <c r="AO156" s="407"/>
      <c r="AP156" s="407"/>
      <c r="AQ156" s="407"/>
      <c r="AR156" s="407"/>
      <c r="AS156" s="407"/>
      <c r="AT156" s="406"/>
      <c r="AU156" s="13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</row>
    <row r="157" spans="1:75" ht="15.75">
      <c r="A157" s="400">
        <v>12</v>
      </c>
      <c r="B157" s="401" t="s">
        <v>52</v>
      </c>
      <c r="C157" s="421"/>
      <c r="D157" s="421"/>
      <c r="E157" s="275">
        <f t="shared" si="107"/>
        <v>0.4</v>
      </c>
      <c r="F157" s="276"/>
      <c r="G157" s="275">
        <f t="shared" si="108"/>
        <v>0.4</v>
      </c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6">
        <v>0.4</v>
      </c>
      <c r="T157" s="275"/>
      <c r="U157" s="275"/>
      <c r="V157" s="275"/>
      <c r="W157" s="275"/>
      <c r="X157" s="275"/>
      <c r="Y157" s="278">
        <f t="shared" si="109"/>
        <v>7152000</v>
      </c>
      <c r="Z157" s="407"/>
      <c r="AA157" s="408"/>
      <c r="AB157" s="407"/>
      <c r="AC157" s="407"/>
      <c r="AD157" s="407"/>
      <c r="AE157" s="407"/>
      <c r="AF157" s="407"/>
      <c r="AG157" s="407"/>
      <c r="AH157" s="407"/>
      <c r="AI157" s="407"/>
      <c r="AJ157" s="407"/>
      <c r="AK157" s="407"/>
      <c r="AL157" s="407"/>
      <c r="AM157" s="407"/>
      <c r="AN157" s="407"/>
      <c r="AO157" s="407"/>
      <c r="AP157" s="407"/>
      <c r="AQ157" s="407"/>
      <c r="AR157" s="407"/>
      <c r="AS157" s="407"/>
      <c r="AT157" s="406"/>
      <c r="AU157" s="13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</row>
    <row r="158" spans="1:75" ht="15.75">
      <c r="A158" s="400">
        <v>13</v>
      </c>
      <c r="B158" s="401" t="s">
        <v>34</v>
      </c>
      <c r="C158" s="421"/>
      <c r="D158" s="421"/>
      <c r="E158" s="275">
        <f t="shared" si="107"/>
        <v>0.4</v>
      </c>
      <c r="F158" s="276"/>
      <c r="G158" s="275">
        <f t="shared" si="108"/>
        <v>0.4</v>
      </c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6">
        <v>0.4</v>
      </c>
      <c r="T158" s="275"/>
      <c r="U158" s="275"/>
      <c r="V158" s="275"/>
      <c r="W158" s="275"/>
      <c r="X158" s="275"/>
      <c r="Y158" s="278">
        <f t="shared" si="109"/>
        <v>7152000</v>
      </c>
      <c r="Z158" s="407"/>
      <c r="AA158" s="408"/>
      <c r="AB158" s="407"/>
      <c r="AC158" s="407"/>
      <c r="AD158" s="407"/>
      <c r="AE158" s="407"/>
      <c r="AF158" s="407"/>
      <c r="AG158" s="407"/>
      <c r="AH158" s="407"/>
      <c r="AI158" s="407"/>
      <c r="AJ158" s="407"/>
      <c r="AK158" s="407"/>
      <c r="AL158" s="407"/>
      <c r="AM158" s="407"/>
      <c r="AN158" s="407"/>
      <c r="AO158" s="407"/>
      <c r="AP158" s="407"/>
      <c r="AQ158" s="407"/>
      <c r="AR158" s="407"/>
      <c r="AS158" s="407"/>
      <c r="AT158" s="406"/>
      <c r="AU158" s="13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</row>
    <row r="159" spans="1:75" ht="15.75">
      <c r="A159" s="400">
        <v>14</v>
      </c>
      <c r="B159" s="401" t="s">
        <v>17</v>
      </c>
      <c r="C159" s="421"/>
      <c r="D159" s="421"/>
      <c r="E159" s="275">
        <f t="shared" si="107"/>
        <v>0.4</v>
      </c>
      <c r="F159" s="276"/>
      <c r="G159" s="275">
        <f t="shared" si="108"/>
        <v>0.4</v>
      </c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6">
        <v>0.4</v>
      </c>
      <c r="T159" s="275"/>
      <c r="U159" s="275"/>
      <c r="V159" s="275"/>
      <c r="W159" s="275"/>
      <c r="X159" s="275"/>
      <c r="Y159" s="278">
        <f t="shared" si="109"/>
        <v>7152000</v>
      </c>
      <c r="Z159" s="407"/>
      <c r="AA159" s="408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  <c r="AO159" s="407"/>
      <c r="AP159" s="407"/>
      <c r="AQ159" s="407"/>
      <c r="AR159" s="407"/>
      <c r="AS159" s="407"/>
      <c r="AT159" s="406"/>
      <c r="AU159" s="13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</row>
    <row r="160" spans="1:75" ht="15.75">
      <c r="A160" s="400">
        <v>15</v>
      </c>
      <c r="B160" s="401" t="s">
        <v>25</v>
      </c>
      <c r="C160" s="421"/>
      <c r="D160" s="421"/>
      <c r="E160" s="275">
        <f t="shared" si="107"/>
        <v>0.4</v>
      </c>
      <c r="F160" s="276"/>
      <c r="G160" s="275">
        <f t="shared" si="108"/>
        <v>0.4</v>
      </c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6">
        <v>0.4</v>
      </c>
      <c r="T160" s="275"/>
      <c r="U160" s="275"/>
      <c r="V160" s="275"/>
      <c r="W160" s="275"/>
      <c r="X160" s="275"/>
      <c r="Y160" s="278">
        <f t="shared" si="109"/>
        <v>7152000</v>
      </c>
      <c r="Z160" s="407"/>
      <c r="AA160" s="408"/>
      <c r="AB160" s="407"/>
      <c r="AC160" s="407"/>
      <c r="AD160" s="407"/>
      <c r="AE160" s="407"/>
      <c r="AF160" s="407"/>
      <c r="AG160" s="407"/>
      <c r="AH160" s="407"/>
      <c r="AI160" s="407"/>
      <c r="AJ160" s="407"/>
      <c r="AK160" s="407"/>
      <c r="AL160" s="407"/>
      <c r="AM160" s="407"/>
      <c r="AN160" s="407"/>
      <c r="AO160" s="407"/>
      <c r="AP160" s="407"/>
      <c r="AQ160" s="407"/>
      <c r="AR160" s="407"/>
      <c r="AS160" s="407"/>
      <c r="AT160" s="406"/>
      <c r="AU160" s="13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</row>
    <row r="161" spans="1:75" ht="15.75">
      <c r="A161" s="400">
        <v>16</v>
      </c>
      <c r="B161" s="401" t="s">
        <v>51</v>
      </c>
      <c r="C161" s="421"/>
      <c r="D161" s="421"/>
      <c r="E161" s="275">
        <f t="shared" si="107"/>
        <v>0.4</v>
      </c>
      <c r="F161" s="276"/>
      <c r="G161" s="275">
        <f t="shared" si="108"/>
        <v>0.4</v>
      </c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6">
        <v>0.4</v>
      </c>
      <c r="T161" s="275"/>
      <c r="U161" s="275"/>
      <c r="V161" s="275"/>
      <c r="W161" s="275"/>
      <c r="X161" s="275"/>
      <c r="Y161" s="278">
        <f t="shared" si="109"/>
        <v>7152000</v>
      </c>
      <c r="Z161" s="407"/>
      <c r="AA161" s="408"/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407"/>
      <c r="AN161" s="407"/>
      <c r="AO161" s="407"/>
      <c r="AP161" s="407"/>
      <c r="AQ161" s="407"/>
      <c r="AR161" s="407"/>
      <c r="AS161" s="407"/>
      <c r="AT161" s="406"/>
      <c r="AU161" s="13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</row>
    <row r="162" spans="1:75" ht="15.75">
      <c r="A162" s="400">
        <v>17</v>
      </c>
      <c r="B162" s="401" t="s">
        <v>50</v>
      </c>
      <c r="C162" s="421"/>
      <c r="D162" s="421"/>
      <c r="E162" s="275">
        <f t="shared" si="107"/>
        <v>0.4</v>
      </c>
      <c r="F162" s="276"/>
      <c r="G162" s="275">
        <f t="shared" si="108"/>
        <v>0.4</v>
      </c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6">
        <v>0.4</v>
      </c>
      <c r="T162" s="275"/>
      <c r="U162" s="275"/>
      <c r="V162" s="275"/>
      <c r="W162" s="275"/>
      <c r="X162" s="275"/>
      <c r="Y162" s="278">
        <f t="shared" si="109"/>
        <v>7152000</v>
      </c>
      <c r="Z162" s="407"/>
      <c r="AA162" s="408"/>
      <c r="AB162" s="407"/>
      <c r="AC162" s="407"/>
      <c r="AD162" s="407"/>
      <c r="AE162" s="407"/>
      <c r="AF162" s="407"/>
      <c r="AG162" s="407"/>
      <c r="AH162" s="407"/>
      <c r="AI162" s="407"/>
      <c r="AJ162" s="407"/>
      <c r="AK162" s="407"/>
      <c r="AL162" s="407"/>
      <c r="AM162" s="407"/>
      <c r="AN162" s="407"/>
      <c r="AO162" s="407"/>
      <c r="AP162" s="407"/>
      <c r="AQ162" s="407"/>
      <c r="AR162" s="407"/>
      <c r="AS162" s="407"/>
      <c r="AT162" s="406"/>
      <c r="AU162" s="13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</row>
    <row r="163" spans="1:75" ht="15.75">
      <c r="A163" s="400">
        <v>18</v>
      </c>
      <c r="B163" s="401" t="s">
        <v>49</v>
      </c>
      <c r="C163" s="421"/>
      <c r="D163" s="421"/>
      <c r="E163" s="275">
        <f t="shared" si="107"/>
        <v>0.4</v>
      </c>
      <c r="F163" s="276"/>
      <c r="G163" s="275">
        <f t="shared" si="108"/>
        <v>0.4</v>
      </c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6">
        <v>0.4</v>
      </c>
      <c r="T163" s="275"/>
      <c r="U163" s="275"/>
      <c r="V163" s="275"/>
      <c r="W163" s="275"/>
      <c r="X163" s="275"/>
      <c r="Y163" s="278">
        <f t="shared" si="109"/>
        <v>7152000</v>
      </c>
      <c r="Z163" s="407"/>
      <c r="AA163" s="408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407"/>
      <c r="AS163" s="407"/>
      <c r="AT163" s="406"/>
      <c r="AU163" s="13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</row>
    <row r="164" spans="1:75" ht="15.75">
      <c r="A164" s="400">
        <v>19</v>
      </c>
      <c r="B164" s="401" t="s">
        <v>48</v>
      </c>
      <c r="C164" s="421"/>
      <c r="D164" s="421"/>
      <c r="E164" s="275">
        <f t="shared" si="107"/>
        <v>0.4</v>
      </c>
      <c r="F164" s="276"/>
      <c r="G164" s="275">
        <f t="shared" si="108"/>
        <v>0.4</v>
      </c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6">
        <v>0.4</v>
      </c>
      <c r="T164" s="275"/>
      <c r="U164" s="275"/>
      <c r="V164" s="275"/>
      <c r="W164" s="275"/>
      <c r="X164" s="275"/>
      <c r="Y164" s="278">
        <f t="shared" si="109"/>
        <v>7152000</v>
      </c>
      <c r="Z164" s="407"/>
      <c r="AA164" s="408"/>
      <c r="AB164" s="407"/>
      <c r="AC164" s="407"/>
      <c r="AD164" s="407"/>
      <c r="AE164" s="407"/>
      <c r="AF164" s="407"/>
      <c r="AG164" s="407"/>
      <c r="AH164" s="407"/>
      <c r="AI164" s="407"/>
      <c r="AJ164" s="407"/>
      <c r="AK164" s="407"/>
      <c r="AL164" s="407"/>
      <c r="AM164" s="407"/>
      <c r="AN164" s="407"/>
      <c r="AO164" s="407"/>
      <c r="AP164" s="407"/>
      <c r="AQ164" s="407"/>
      <c r="AR164" s="407"/>
      <c r="AS164" s="407"/>
      <c r="AT164" s="406"/>
      <c r="AU164" s="13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</row>
    <row r="165" spans="1:75" ht="15.75">
      <c r="A165" s="400">
        <v>20</v>
      </c>
      <c r="B165" s="401" t="s">
        <v>47</v>
      </c>
      <c r="C165" s="421"/>
      <c r="D165" s="421"/>
      <c r="E165" s="275">
        <f t="shared" si="107"/>
        <v>0.4</v>
      </c>
      <c r="F165" s="276"/>
      <c r="G165" s="275">
        <f t="shared" si="108"/>
        <v>0.4</v>
      </c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6">
        <v>0.4</v>
      </c>
      <c r="T165" s="275"/>
      <c r="U165" s="275"/>
      <c r="V165" s="275"/>
      <c r="W165" s="275"/>
      <c r="X165" s="275"/>
      <c r="Y165" s="278">
        <f t="shared" si="109"/>
        <v>7152000</v>
      </c>
      <c r="Z165" s="407"/>
      <c r="AA165" s="408"/>
      <c r="AB165" s="407"/>
      <c r="AC165" s="407"/>
      <c r="AD165" s="407"/>
      <c r="AE165" s="407"/>
      <c r="AF165" s="407"/>
      <c r="AG165" s="407"/>
      <c r="AH165" s="407"/>
      <c r="AI165" s="407"/>
      <c r="AJ165" s="407"/>
      <c r="AK165" s="407"/>
      <c r="AL165" s="407"/>
      <c r="AM165" s="407"/>
      <c r="AN165" s="407"/>
      <c r="AO165" s="407"/>
      <c r="AP165" s="407"/>
      <c r="AQ165" s="407"/>
      <c r="AR165" s="407"/>
      <c r="AS165" s="407"/>
      <c r="AT165" s="406"/>
      <c r="AU165" s="13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</row>
    <row r="166" spans="1:75" ht="15.75">
      <c r="A166" s="400">
        <v>21</v>
      </c>
      <c r="B166" s="401" t="s">
        <v>19</v>
      </c>
      <c r="C166" s="421"/>
      <c r="D166" s="421"/>
      <c r="E166" s="275">
        <f t="shared" si="107"/>
        <v>0.4</v>
      </c>
      <c r="F166" s="276"/>
      <c r="G166" s="275">
        <f t="shared" si="108"/>
        <v>0.4</v>
      </c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6">
        <v>0.4</v>
      </c>
      <c r="T166" s="275"/>
      <c r="U166" s="275"/>
      <c r="V166" s="275"/>
      <c r="W166" s="275"/>
      <c r="X166" s="275"/>
      <c r="Y166" s="278">
        <f t="shared" si="109"/>
        <v>7152000</v>
      </c>
      <c r="Z166" s="407"/>
      <c r="AA166" s="408"/>
      <c r="AB166" s="407"/>
      <c r="AC166" s="407"/>
      <c r="AD166" s="407"/>
      <c r="AE166" s="407"/>
      <c r="AF166" s="407"/>
      <c r="AG166" s="407"/>
      <c r="AH166" s="407"/>
      <c r="AI166" s="407"/>
      <c r="AJ166" s="407"/>
      <c r="AK166" s="407"/>
      <c r="AL166" s="407"/>
      <c r="AM166" s="407"/>
      <c r="AN166" s="407"/>
      <c r="AO166" s="407"/>
      <c r="AP166" s="407"/>
      <c r="AQ166" s="407"/>
      <c r="AR166" s="407"/>
      <c r="AS166" s="407"/>
      <c r="AT166" s="406"/>
      <c r="AU166" s="13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</row>
    <row r="167" spans="1:75" ht="15.75">
      <c r="A167" s="400">
        <v>22</v>
      </c>
      <c r="B167" s="401" t="s">
        <v>31</v>
      </c>
      <c r="C167" s="421"/>
      <c r="D167" s="421"/>
      <c r="E167" s="275">
        <f t="shared" si="107"/>
        <v>0.4</v>
      </c>
      <c r="F167" s="276"/>
      <c r="G167" s="275">
        <f t="shared" si="108"/>
        <v>0.4</v>
      </c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6">
        <v>0.4</v>
      </c>
      <c r="T167" s="275"/>
      <c r="U167" s="275"/>
      <c r="V167" s="275"/>
      <c r="W167" s="275"/>
      <c r="X167" s="275"/>
      <c r="Y167" s="278">
        <f t="shared" si="109"/>
        <v>7152000</v>
      </c>
      <c r="Z167" s="407"/>
      <c r="AA167" s="408"/>
      <c r="AB167" s="407"/>
      <c r="AC167" s="407"/>
      <c r="AD167" s="407"/>
      <c r="AE167" s="407"/>
      <c r="AF167" s="407"/>
      <c r="AG167" s="407"/>
      <c r="AH167" s="407"/>
      <c r="AI167" s="407"/>
      <c r="AJ167" s="407"/>
      <c r="AK167" s="407"/>
      <c r="AL167" s="407"/>
      <c r="AM167" s="407"/>
      <c r="AN167" s="407"/>
      <c r="AO167" s="407"/>
      <c r="AP167" s="407"/>
      <c r="AQ167" s="407"/>
      <c r="AR167" s="407"/>
      <c r="AS167" s="407"/>
      <c r="AT167" s="406"/>
      <c r="AU167" s="13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</row>
    <row r="168" spans="1:75" ht="15.75">
      <c r="A168" s="400">
        <v>23</v>
      </c>
      <c r="B168" s="401" t="s">
        <v>46</v>
      </c>
      <c r="C168" s="421"/>
      <c r="D168" s="421"/>
      <c r="E168" s="275">
        <f t="shared" si="107"/>
        <v>0.4</v>
      </c>
      <c r="F168" s="276"/>
      <c r="G168" s="275">
        <f t="shared" si="108"/>
        <v>0.4</v>
      </c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6">
        <v>0.4</v>
      </c>
      <c r="T168" s="275"/>
      <c r="U168" s="275"/>
      <c r="V168" s="275"/>
      <c r="W168" s="275"/>
      <c r="X168" s="275"/>
      <c r="Y168" s="278">
        <f t="shared" si="109"/>
        <v>7152000</v>
      </c>
      <c r="Z168" s="407"/>
      <c r="AA168" s="408"/>
      <c r="AB168" s="407"/>
      <c r="AC168" s="407"/>
      <c r="AD168" s="407"/>
      <c r="AE168" s="407"/>
      <c r="AF168" s="407"/>
      <c r="AG168" s="407"/>
      <c r="AH168" s="407"/>
      <c r="AI168" s="407"/>
      <c r="AJ168" s="407"/>
      <c r="AK168" s="407"/>
      <c r="AL168" s="407"/>
      <c r="AM168" s="407"/>
      <c r="AN168" s="407"/>
      <c r="AO168" s="407"/>
      <c r="AP168" s="407"/>
      <c r="AQ168" s="407"/>
      <c r="AR168" s="407"/>
      <c r="AS168" s="407"/>
      <c r="AT168" s="406"/>
      <c r="AU168" s="13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</row>
    <row r="169" spans="1:75" ht="15.75">
      <c r="A169" s="400">
        <v>24</v>
      </c>
      <c r="B169" s="401" t="s">
        <v>28</v>
      </c>
      <c r="C169" s="421"/>
      <c r="D169" s="421"/>
      <c r="E169" s="275">
        <f t="shared" si="107"/>
        <v>0.4</v>
      </c>
      <c r="F169" s="276"/>
      <c r="G169" s="275">
        <f t="shared" si="108"/>
        <v>0.4</v>
      </c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6">
        <v>0.4</v>
      </c>
      <c r="T169" s="275"/>
      <c r="U169" s="275"/>
      <c r="V169" s="275"/>
      <c r="W169" s="275"/>
      <c r="X169" s="275"/>
      <c r="Y169" s="278">
        <f t="shared" si="109"/>
        <v>7152000</v>
      </c>
      <c r="Z169" s="407"/>
      <c r="AA169" s="408"/>
      <c r="AB169" s="407"/>
      <c r="AC169" s="407"/>
      <c r="AD169" s="407"/>
      <c r="AE169" s="407"/>
      <c r="AF169" s="407"/>
      <c r="AG169" s="407"/>
      <c r="AH169" s="407"/>
      <c r="AI169" s="407"/>
      <c r="AJ169" s="407"/>
      <c r="AK169" s="407"/>
      <c r="AL169" s="407"/>
      <c r="AM169" s="407"/>
      <c r="AN169" s="407"/>
      <c r="AO169" s="407"/>
      <c r="AP169" s="407"/>
      <c r="AQ169" s="407"/>
      <c r="AR169" s="407"/>
      <c r="AS169" s="407"/>
      <c r="AT169" s="406"/>
      <c r="AU169" s="13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</row>
    <row r="170" spans="1:75" ht="15.75">
      <c r="A170" s="400">
        <v>25</v>
      </c>
      <c r="B170" s="401" t="s">
        <v>45</v>
      </c>
      <c r="C170" s="421"/>
      <c r="D170" s="421"/>
      <c r="E170" s="275">
        <f t="shared" si="107"/>
        <v>0.4</v>
      </c>
      <c r="F170" s="276"/>
      <c r="G170" s="275">
        <f t="shared" si="108"/>
        <v>0.4</v>
      </c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6">
        <v>0.4</v>
      </c>
      <c r="T170" s="275"/>
      <c r="U170" s="275"/>
      <c r="V170" s="275"/>
      <c r="W170" s="275"/>
      <c r="X170" s="275"/>
      <c r="Y170" s="278">
        <f t="shared" si="109"/>
        <v>7152000</v>
      </c>
      <c r="Z170" s="407"/>
      <c r="AA170" s="408"/>
      <c r="AB170" s="407"/>
      <c r="AC170" s="407"/>
      <c r="AD170" s="407"/>
      <c r="AE170" s="407"/>
      <c r="AF170" s="407"/>
      <c r="AG170" s="407"/>
      <c r="AH170" s="407"/>
      <c r="AI170" s="407"/>
      <c r="AJ170" s="407"/>
      <c r="AK170" s="407"/>
      <c r="AL170" s="407"/>
      <c r="AM170" s="407"/>
      <c r="AN170" s="407"/>
      <c r="AO170" s="407"/>
      <c r="AP170" s="407"/>
      <c r="AQ170" s="407"/>
      <c r="AR170" s="407"/>
      <c r="AS170" s="407"/>
      <c r="AT170" s="406"/>
      <c r="AU170" s="13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</row>
    <row r="171" spans="1:75" ht="15.75">
      <c r="A171" s="400">
        <v>26</v>
      </c>
      <c r="B171" s="401" t="s">
        <v>30</v>
      </c>
      <c r="C171" s="421"/>
      <c r="D171" s="421"/>
      <c r="E171" s="275">
        <f t="shared" si="107"/>
        <v>0.4</v>
      </c>
      <c r="F171" s="276"/>
      <c r="G171" s="275">
        <f t="shared" si="108"/>
        <v>0.4</v>
      </c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6">
        <v>0.4</v>
      </c>
      <c r="T171" s="275"/>
      <c r="U171" s="275"/>
      <c r="V171" s="275"/>
      <c r="W171" s="275"/>
      <c r="X171" s="275"/>
      <c r="Y171" s="278">
        <f t="shared" si="109"/>
        <v>7152000</v>
      </c>
      <c r="Z171" s="407"/>
      <c r="AA171" s="408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  <c r="AP171" s="407"/>
      <c r="AQ171" s="407"/>
      <c r="AR171" s="407"/>
      <c r="AS171" s="407"/>
      <c r="AT171" s="406"/>
      <c r="AU171" s="13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</row>
    <row r="172" spans="1:75" ht="15.75">
      <c r="A172" s="400">
        <v>27</v>
      </c>
      <c r="B172" s="401" t="s">
        <v>44</v>
      </c>
      <c r="C172" s="421"/>
      <c r="D172" s="421"/>
      <c r="E172" s="275">
        <f t="shared" si="107"/>
        <v>0.4</v>
      </c>
      <c r="F172" s="276"/>
      <c r="G172" s="275">
        <f t="shared" si="108"/>
        <v>0.4</v>
      </c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6">
        <v>0.4</v>
      </c>
      <c r="T172" s="275"/>
      <c r="U172" s="275"/>
      <c r="V172" s="275"/>
      <c r="W172" s="275"/>
      <c r="X172" s="275"/>
      <c r="Y172" s="278">
        <f t="shared" si="109"/>
        <v>7152000</v>
      </c>
      <c r="Z172" s="407"/>
      <c r="AA172" s="408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  <c r="AP172" s="407"/>
      <c r="AQ172" s="407"/>
      <c r="AR172" s="407"/>
      <c r="AS172" s="407"/>
      <c r="AT172" s="406"/>
      <c r="AU172" s="13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</row>
    <row r="173" spans="1:75" ht="31.5">
      <c r="A173" s="396" t="s">
        <v>6</v>
      </c>
      <c r="B173" s="397" t="s">
        <v>43</v>
      </c>
      <c r="C173" s="420"/>
      <c r="D173" s="420"/>
      <c r="E173" s="270">
        <f>E174+'[1]sheet2'!E430+'[1]sheet2'!E439+'[1]sheet2'!E449</f>
        <v>10.800000000000004</v>
      </c>
      <c r="F173" s="270">
        <f>F174+'[1]sheet2'!F430+'[1]sheet2'!F439+'[1]sheet2'!F449</f>
        <v>0</v>
      </c>
      <c r="G173" s="270">
        <f>G174+'[1]sheet2'!G430+'[1]sheet2'!G439+'[1]sheet2'!G449</f>
        <v>10.800000000000004</v>
      </c>
      <c r="H173" s="270">
        <f>H174+'[1]sheet2'!H430+'[1]sheet2'!H439+'[1]sheet2'!H449</f>
        <v>0</v>
      </c>
      <c r="I173" s="270">
        <f>I174+'[1]sheet2'!I430+'[1]sheet2'!I439+'[1]sheet2'!I449</f>
        <v>0</v>
      </c>
      <c r="J173" s="270">
        <f>J174+'[1]sheet2'!J430+'[1]sheet2'!J439+'[1]sheet2'!J449</f>
        <v>0</v>
      </c>
      <c r="K173" s="270">
        <f>K174+'[1]sheet2'!K430+'[1]sheet2'!K439+'[1]sheet2'!K449</f>
        <v>0</v>
      </c>
      <c r="L173" s="270">
        <f>L174+'[1]sheet2'!L430+'[1]sheet2'!L439+'[1]sheet2'!L449</f>
        <v>0</v>
      </c>
      <c r="M173" s="270">
        <f>M174+'[1]sheet2'!M430+'[1]sheet2'!M439+'[1]sheet2'!M449</f>
        <v>0</v>
      </c>
      <c r="N173" s="270">
        <f>N174+'[1]sheet2'!N430+'[1]sheet2'!N439+'[1]sheet2'!N449</f>
        <v>0</v>
      </c>
      <c r="O173" s="270">
        <f>O174+'[1]sheet2'!O430+'[1]sheet2'!O439+'[1]sheet2'!O449</f>
        <v>0</v>
      </c>
      <c r="P173" s="270">
        <f>P174+'[1]sheet2'!P430+'[1]sheet2'!P439+'[1]sheet2'!P449</f>
        <v>0</v>
      </c>
      <c r="Q173" s="270">
        <f>Q174+'[1]sheet2'!Q430+'[1]sheet2'!Q439+'[1]sheet2'!Q449</f>
        <v>0</v>
      </c>
      <c r="R173" s="270">
        <f>R174+'[1]sheet2'!R430+'[1]sheet2'!R439+'[1]sheet2'!R449</f>
        <v>10.800000000000004</v>
      </c>
      <c r="S173" s="270">
        <f>S174+'[1]sheet2'!S430+'[1]sheet2'!S439+'[1]sheet2'!S449</f>
        <v>0</v>
      </c>
      <c r="T173" s="270">
        <f>T174+'[1]sheet2'!T430+'[1]sheet2'!T439+'[1]sheet2'!T449</f>
        <v>0</v>
      </c>
      <c r="U173" s="270">
        <f>U174+'[1]sheet2'!U430+'[1]sheet2'!U439+'[1]sheet2'!U449</f>
        <v>0</v>
      </c>
      <c r="V173" s="270"/>
      <c r="W173" s="270">
        <f>W174+'[1]sheet2'!W430+'[1]sheet2'!W439+'[1]sheet2'!W449</f>
        <v>0</v>
      </c>
      <c r="X173" s="270">
        <f>X174+'[1]sheet2'!X430+'[1]sheet2'!X439+'[1]sheet2'!X449</f>
        <v>0</v>
      </c>
      <c r="Y173" s="271">
        <f>Y174+'[1]sheet2'!Y430+'[1]sheet2'!Y439+'[1]sheet2'!Y449</f>
        <v>193104000</v>
      </c>
      <c r="Z173" s="407"/>
      <c r="AA173" s="408"/>
      <c r="AB173" s="407"/>
      <c r="AC173" s="407"/>
      <c r="AD173" s="407"/>
      <c r="AE173" s="407"/>
      <c r="AF173" s="407"/>
      <c r="AG173" s="407"/>
      <c r="AH173" s="407"/>
      <c r="AI173" s="407"/>
      <c r="AJ173" s="407"/>
      <c r="AK173" s="407"/>
      <c r="AL173" s="407"/>
      <c r="AM173" s="407"/>
      <c r="AN173" s="407"/>
      <c r="AO173" s="407"/>
      <c r="AP173" s="407"/>
      <c r="AQ173" s="407"/>
      <c r="AR173" s="407"/>
      <c r="AS173" s="407"/>
      <c r="AT173" s="406"/>
      <c r="AU173" s="11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</row>
    <row r="174" spans="1:75" ht="15.75">
      <c r="A174" s="396">
        <v>1</v>
      </c>
      <c r="B174" s="397" t="s">
        <v>42</v>
      </c>
      <c r="C174" s="420"/>
      <c r="D174" s="420"/>
      <c r="E174" s="270">
        <f aca="true" t="shared" si="110" ref="E174:Y174">SUM(E175:E201)</f>
        <v>10.800000000000004</v>
      </c>
      <c r="F174" s="270">
        <f t="shared" si="110"/>
        <v>0</v>
      </c>
      <c r="G174" s="270">
        <f t="shared" si="110"/>
        <v>10.800000000000004</v>
      </c>
      <c r="H174" s="270">
        <f t="shared" si="110"/>
        <v>0</v>
      </c>
      <c r="I174" s="270">
        <f t="shared" si="110"/>
        <v>0</v>
      </c>
      <c r="J174" s="270">
        <f t="shared" si="110"/>
        <v>0</v>
      </c>
      <c r="K174" s="270">
        <f t="shared" si="110"/>
        <v>0</v>
      </c>
      <c r="L174" s="270">
        <f t="shared" si="110"/>
        <v>0</v>
      </c>
      <c r="M174" s="270">
        <f t="shared" si="110"/>
        <v>0</v>
      </c>
      <c r="N174" s="270">
        <f t="shared" si="110"/>
        <v>0</v>
      </c>
      <c r="O174" s="270">
        <f t="shared" si="110"/>
        <v>0</v>
      </c>
      <c r="P174" s="270">
        <f t="shared" si="110"/>
        <v>0</v>
      </c>
      <c r="Q174" s="270">
        <f t="shared" si="110"/>
        <v>0</v>
      </c>
      <c r="R174" s="270">
        <f t="shared" si="110"/>
        <v>10.800000000000004</v>
      </c>
      <c r="S174" s="270">
        <f t="shared" si="110"/>
        <v>0</v>
      </c>
      <c r="T174" s="270">
        <f t="shared" si="110"/>
        <v>0</v>
      </c>
      <c r="U174" s="270">
        <f t="shared" si="110"/>
        <v>0</v>
      </c>
      <c r="V174" s="270">
        <f t="shared" si="110"/>
        <v>0</v>
      </c>
      <c r="W174" s="270">
        <f t="shared" si="110"/>
        <v>0</v>
      </c>
      <c r="X174" s="270">
        <f t="shared" si="110"/>
        <v>0</v>
      </c>
      <c r="Y174" s="270">
        <f t="shared" si="110"/>
        <v>193104000</v>
      </c>
      <c r="Z174" s="407"/>
      <c r="AA174" s="408"/>
      <c r="AB174" s="407"/>
      <c r="AC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7"/>
      <c r="AN174" s="407"/>
      <c r="AO174" s="407"/>
      <c r="AP174" s="407"/>
      <c r="AQ174" s="407"/>
      <c r="AR174" s="407"/>
      <c r="AS174" s="407"/>
      <c r="AT174" s="406"/>
      <c r="AU174" s="11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</row>
    <row r="175" spans="1:75" ht="15.75">
      <c r="A175" s="409">
        <v>1</v>
      </c>
      <c r="B175" s="9" t="s">
        <v>41</v>
      </c>
      <c r="C175" s="422"/>
      <c r="D175" s="422"/>
      <c r="E175" s="348">
        <f aca="true" t="shared" si="111" ref="E175:E201">F175+G175+X175</f>
        <v>0.4</v>
      </c>
      <c r="F175" s="410"/>
      <c r="G175" s="348">
        <f aca="true" t="shared" si="112" ref="G175:G201">H175+I175+J175+K175+L175+M175+N175+O175+P175+Q175+R175+S175+T175+U175+W175</f>
        <v>0.4</v>
      </c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348">
        <v>0.4</v>
      </c>
      <c r="S175" s="410"/>
      <c r="T175" s="411"/>
      <c r="U175" s="411"/>
      <c r="V175" s="411"/>
      <c r="W175" s="411"/>
      <c r="X175" s="411"/>
      <c r="Y175" s="353">
        <f aca="true" t="shared" si="113" ref="Y175:Y202">E175*1490000*12</f>
        <v>7152000</v>
      </c>
      <c r="Z175" s="407"/>
      <c r="AA175" s="408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407"/>
      <c r="AP175" s="407"/>
      <c r="AQ175" s="407"/>
      <c r="AR175" s="407"/>
      <c r="AS175" s="407"/>
      <c r="AT175" s="406"/>
      <c r="AU175" s="17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</row>
    <row r="176" spans="1:75" ht="15.75">
      <c r="A176" s="409">
        <v>2</v>
      </c>
      <c r="B176" s="9" t="s">
        <v>40</v>
      </c>
      <c r="C176" s="422"/>
      <c r="D176" s="422"/>
      <c r="E176" s="348">
        <f t="shared" si="111"/>
        <v>0.4</v>
      </c>
      <c r="F176" s="410"/>
      <c r="G176" s="348">
        <f t="shared" si="112"/>
        <v>0.4</v>
      </c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348">
        <v>0.4</v>
      </c>
      <c r="S176" s="410"/>
      <c r="T176" s="411"/>
      <c r="U176" s="411"/>
      <c r="V176" s="411"/>
      <c r="W176" s="411"/>
      <c r="X176" s="411"/>
      <c r="Y176" s="353">
        <f t="shared" si="113"/>
        <v>7152000</v>
      </c>
      <c r="Z176" s="407"/>
      <c r="AA176" s="408"/>
      <c r="AB176" s="407"/>
      <c r="AC176" s="407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7"/>
      <c r="AO176" s="407"/>
      <c r="AP176" s="407"/>
      <c r="AQ176" s="407"/>
      <c r="AR176" s="407"/>
      <c r="AS176" s="407"/>
      <c r="AT176" s="406"/>
      <c r="AU176" s="17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</row>
    <row r="177" spans="1:75" ht="15.75">
      <c r="A177" s="409">
        <v>3</v>
      </c>
      <c r="B177" s="9" t="s">
        <v>39</v>
      </c>
      <c r="C177" s="422"/>
      <c r="D177" s="422"/>
      <c r="E177" s="348">
        <f t="shared" si="111"/>
        <v>0.4</v>
      </c>
      <c r="F177" s="410"/>
      <c r="G177" s="348">
        <f t="shared" si="112"/>
        <v>0.4</v>
      </c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348">
        <v>0.4</v>
      </c>
      <c r="S177" s="410"/>
      <c r="T177" s="411"/>
      <c r="U177" s="411"/>
      <c r="V177" s="411"/>
      <c r="W177" s="411"/>
      <c r="X177" s="411"/>
      <c r="Y177" s="353">
        <f t="shared" si="113"/>
        <v>7152000</v>
      </c>
      <c r="Z177" s="407"/>
      <c r="AA177" s="408"/>
      <c r="AB177" s="407"/>
      <c r="AC177" s="407"/>
      <c r="AD177" s="407"/>
      <c r="AE177" s="407"/>
      <c r="AF177" s="407"/>
      <c r="AG177" s="407"/>
      <c r="AH177" s="407"/>
      <c r="AI177" s="407"/>
      <c r="AJ177" s="407"/>
      <c r="AK177" s="407"/>
      <c r="AL177" s="407"/>
      <c r="AM177" s="407"/>
      <c r="AN177" s="407"/>
      <c r="AO177" s="407"/>
      <c r="AP177" s="407"/>
      <c r="AQ177" s="407"/>
      <c r="AR177" s="407"/>
      <c r="AS177" s="407"/>
      <c r="AT177" s="406"/>
      <c r="AU177" s="17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</row>
    <row r="178" spans="1:75" ht="15.75">
      <c r="A178" s="409">
        <v>4</v>
      </c>
      <c r="B178" s="9" t="s">
        <v>38</v>
      </c>
      <c r="C178" s="422"/>
      <c r="D178" s="422"/>
      <c r="E178" s="348">
        <f t="shared" si="111"/>
        <v>0.4</v>
      </c>
      <c r="F178" s="410"/>
      <c r="G178" s="348">
        <f t="shared" si="112"/>
        <v>0.4</v>
      </c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348">
        <v>0.4</v>
      </c>
      <c r="S178" s="410"/>
      <c r="T178" s="411"/>
      <c r="U178" s="411"/>
      <c r="V178" s="411"/>
      <c r="W178" s="411"/>
      <c r="X178" s="411"/>
      <c r="Y178" s="353">
        <f t="shared" si="113"/>
        <v>7152000</v>
      </c>
      <c r="Z178" s="407"/>
      <c r="AA178" s="408"/>
      <c r="AB178" s="407"/>
      <c r="AC178" s="407"/>
      <c r="AD178" s="407"/>
      <c r="AE178" s="407"/>
      <c r="AF178" s="407"/>
      <c r="AG178" s="407"/>
      <c r="AH178" s="407"/>
      <c r="AI178" s="407"/>
      <c r="AJ178" s="407"/>
      <c r="AK178" s="407"/>
      <c r="AL178" s="407"/>
      <c r="AM178" s="407"/>
      <c r="AN178" s="407"/>
      <c r="AO178" s="407"/>
      <c r="AP178" s="407"/>
      <c r="AQ178" s="407"/>
      <c r="AR178" s="407"/>
      <c r="AS178" s="407"/>
      <c r="AT178" s="406"/>
      <c r="AU178" s="17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</row>
    <row r="179" spans="1:75" ht="15.75">
      <c r="A179" s="409">
        <v>5</v>
      </c>
      <c r="B179" s="9" t="s">
        <v>37</v>
      </c>
      <c r="C179" s="422"/>
      <c r="D179" s="422"/>
      <c r="E179" s="348">
        <f t="shared" si="111"/>
        <v>0.4</v>
      </c>
      <c r="F179" s="410"/>
      <c r="G179" s="348">
        <f t="shared" si="112"/>
        <v>0.4</v>
      </c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348">
        <v>0.4</v>
      </c>
      <c r="S179" s="410"/>
      <c r="T179" s="411"/>
      <c r="U179" s="411"/>
      <c r="V179" s="411"/>
      <c r="W179" s="411"/>
      <c r="X179" s="411"/>
      <c r="Y179" s="353">
        <f t="shared" si="113"/>
        <v>7152000</v>
      </c>
      <c r="Z179" s="407"/>
      <c r="AA179" s="408"/>
      <c r="AB179" s="407"/>
      <c r="AC179" s="407"/>
      <c r="AD179" s="407"/>
      <c r="AE179" s="407"/>
      <c r="AF179" s="407"/>
      <c r="AG179" s="407"/>
      <c r="AH179" s="407"/>
      <c r="AI179" s="407"/>
      <c r="AJ179" s="407"/>
      <c r="AK179" s="407"/>
      <c r="AL179" s="407"/>
      <c r="AM179" s="407"/>
      <c r="AN179" s="407"/>
      <c r="AO179" s="407"/>
      <c r="AP179" s="407"/>
      <c r="AQ179" s="407"/>
      <c r="AR179" s="407"/>
      <c r="AS179" s="407"/>
      <c r="AT179" s="406"/>
      <c r="AU179" s="17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</row>
    <row r="180" spans="1:75" ht="15.75">
      <c r="A180" s="409">
        <v>6</v>
      </c>
      <c r="B180" s="9" t="s">
        <v>36</v>
      </c>
      <c r="C180" s="422"/>
      <c r="D180" s="422"/>
      <c r="E180" s="348">
        <f t="shared" si="111"/>
        <v>0.4</v>
      </c>
      <c r="F180" s="410"/>
      <c r="G180" s="348">
        <f t="shared" si="112"/>
        <v>0.4</v>
      </c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348">
        <v>0.4</v>
      </c>
      <c r="S180" s="410"/>
      <c r="T180" s="411"/>
      <c r="U180" s="411"/>
      <c r="V180" s="411"/>
      <c r="W180" s="411"/>
      <c r="X180" s="411"/>
      <c r="Y180" s="353">
        <f t="shared" si="113"/>
        <v>7152000</v>
      </c>
      <c r="Z180" s="407"/>
      <c r="AA180" s="408"/>
      <c r="AB180" s="407"/>
      <c r="AC180" s="407"/>
      <c r="AD180" s="407"/>
      <c r="AE180" s="407"/>
      <c r="AF180" s="407"/>
      <c r="AG180" s="407"/>
      <c r="AH180" s="407"/>
      <c r="AI180" s="407"/>
      <c r="AJ180" s="407"/>
      <c r="AK180" s="407"/>
      <c r="AL180" s="407"/>
      <c r="AM180" s="407"/>
      <c r="AN180" s="407"/>
      <c r="AO180" s="407"/>
      <c r="AP180" s="407"/>
      <c r="AQ180" s="407"/>
      <c r="AR180" s="407"/>
      <c r="AS180" s="407"/>
      <c r="AT180" s="406"/>
      <c r="AU180" s="17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</row>
    <row r="181" spans="1:75" ht="31.5">
      <c r="A181" s="409">
        <v>7</v>
      </c>
      <c r="B181" s="9" t="s">
        <v>35</v>
      </c>
      <c r="C181" s="422"/>
      <c r="D181" s="422"/>
      <c r="E181" s="348">
        <f t="shared" si="111"/>
        <v>0.4</v>
      </c>
      <c r="F181" s="410"/>
      <c r="G181" s="348">
        <f t="shared" si="112"/>
        <v>0.4</v>
      </c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348">
        <v>0.4</v>
      </c>
      <c r="S181" s="410"/>
      <c r="T181" s="411"/>
      <c r="U181" s="411"/>
      <c r="V181" s="411"/>
      <c r="W181" s="411"/>
      <c r="X181" s="411"/>
      <c r="Y181" s="353">
        <f t="shared" si="113"/>
        <v>7152000</v>
      </c>
      <c r="Z181" s="407"/>
      <c r="AA181" s="408"/>
      <c r="AB181" s="407"/>
      <c r="AC181" s="407"/>
      <c r="AD181" s="407"/>
      <c r="AE181" s="407"/>
      <c r="AF181" s="407"/>
      <c r="AG181" s="407"/>
      <c r="AH181" s="407"/>
      <c r="AI181" s="407"/>
      <c r="AJ181" s="407"/>
      <c r="AK181" s="407"/>
      <c r="AL181" s="407"/>
      <c r="AM181" s="407"/>
      <c r="AN181" s="407"/>
      <c r="AO181" s="407"/>
      <c r="AP181" s="407"/>
      <c r="AQ181" s="407"/>
      <c r="AR181" s="407"/>
      <c r="AS181" s="407"/>
      <c r="AT181" s="406"/>
      <c r="AU181" s="17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</row>
    <row r="182" spans="1:75" ht="15.75">
      <c r="A182" s="409">
        <v>8</v>
      </c>
      <c r="B182" s="9" t="s">
        <v>34</v>
      </c>
      <c r="C182" s="422"/>
      <c r="D182" s="422"/>
      <c r="E182" s="348">
        <f t="shared" si="111"/>
        <v>0.4</v>
      </c>
      <c r="F182" s="410"/>
      <c r="G182" s="348">
        <f t="shared" si="112"/>
        <v>0.4</v>
      </c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348">
        <v>0.4</v>
      </c>
      <c r="S182" s="410"/>
      <c r="T182" s="411"/>
      <c r="U182" s="411"/>
      <c r="V182" s="411"/>
      <c r="W182" s="411"/>
      <c r="X182" s="411"/>
      <c r="Y182" s="353">
        <f t="shared" si="113"/>
        <v>7152000</v>
      </c>
      <c r="Z182" s="407"/>
      <c r="AA182" s="408"/>
      <c r="AB182" s="407"/>
      <c r="AC182" s="407"/>
      <c r="AD182" s="407"/>
      <c r="AE182" s="407"/>
      <c r="AF182" s="407"/>
      <c r="AG182" s="407"/>
      <c r="AH182" s="407"/>
      <c r="AI182" s="407"/>
      <c r="AJ182" s="407"/>
      <c r="AK182" s="407"/>
      <c r="AL182" s="407"/>
      <c r="AM182" s="407"/>
      <c r="AN182" s="407"/>
      <c r="AO182" s="407"/>
      <c r="AP182" s="407"/>
      <c r="AQ182" s="407"/>
      <c r="AR182" s="407"/>
      <c r="AS182" s="407"/>
      <c r="AT182" s="406"/>
      <c r="AU182" s="17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</row>
    <row r="183" spans="1:75" ht="15.75">
      <c r="A183" s="409">
        <v>9</v>
      </c>
      <c r="B183" s="9" t="s">
        <v>33</v>
      </c>
      <c r="C183" s="422"/>
      <c r="D183" s="422"/>
      <c r="E183" s="348">
        <f t="shared" si="111"/>
        <v>0.4</v>
      </c>
      <c r="F183" s="410"/>
      <c r="G183" s="348">
        <f t="shared" si="112"/>
        <v>0.4</v>
      </c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348">
        <v>0.4</v>
      </c>
      <c r="S183" s="410"/>
      <c r="T183" s="411"/>
      <c r="U183" s="411"/>
      <c r="V183" s="411"/>
      <c r="W183" s="411"/>
      <c r="X183" s="411"/>
      <c r="Y183" s="353">
        <f t="shared" si="113"/>
        <v>7152000</v>
      </c>
      <c r="Z183" s="407"/>
      <c r="AA183" s="408"/>
      <c r="AB183" s="407"/>
      <c r="AC183" s="407"/>
      <c r="AD183" s="407"/>
      <c r="AE183" s="407"/>
      <c r="AF183" s="407"/>
      <c r="AG183" s="407"/>
      <c r="AH183" s="407"/>
      <c r="AI183" s="407"/>
      <c r="AJ183" s="407"/>
      <c r="AK183" s="407"/>
      <c r="AL183" s="407"/>
      <c r="AM183" s="407"/>
      <c r="AN183" s="407"/>
      <c r="AO183" s="407"/>
      <c r="AP183" s="407"/>
      <c r="AQ183" s="407"/>
      <c r="AR183" s="407"/>
      <c r="AS183" s="407"/>
      <c r="AT183" s="406"/>
      <c r="AU183" s="17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</row>
    <row r="184" spans="1:75" ht="15.75">
      <c r="A184" s="409">
        <v>10</v>
      </c>
      <c r="B184" s="9" t="s">
        <v>32</v>
      </c>
      <c r="C184" s="422"/>
      <c r="D184" s="422"/>
      <c r="E184" s="348">
        <f t="shared" si="111"/>
        <v>0.4</v>
      </c>
      <c r="F184" s="410"/>
      <c r="G184" s="348">
        <f t="shared" si="112"/>
        <v>0.4</v>
      </c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348">
        <v>0.4</v>
      </c>
      <c r="S184" s="410"/>
      <c r="T184" s="411"/>
      <c r="U184" s="411"/>
      <c r="V184" s="411"/>
      <c r="W184" s="411"/>
      <c r="X184" s="411"/>
      <c r="Y184" s="353">
        <f t="shared" si="113"/>
        <v>7152000</v>
      </c>
      <c r="Z184" s="407"/>
      <c r="AA184" s="408"/>
      <c r="AB184" s="407"/>
      <c r="AC184" s="407"/>
      <c r="AD184" s="407"/>
      <c r="AE184" s="407"/>
      <c r="AF184" s="407"/>
      <c r="AG184" s="407"/>
      <c r="AH184" s="407"/>
      <c r="AI184" s="407"/>
      <c r="AJ184" s="407"/>
      <c r="AK184" s="407"/>
      <c r="AL184" s="407"/>
      <c r="AM184" s="407"/>
      <c r="AN184" s="407"/>
      <c r="AO184" s="407"/>
      <c r="AP184" s="407"/>
      <c r="AQ184" s="407"/>
      <c r="AR184" s="407"/>
      <c r="AS184" s="407"/>
      <c r="AT184" s="406"/>
      <c r="AU184" s="17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</row>
    <row r="185" spans="1:75" ht="15.75">
      <c r="A185" s="409">
        <v>11</v>
      </c>
      <c r="B185" s="9" t="s">
        <v>31</v>
      </c>
      <c r="C185" s="422"/>
      <c r="D185" s="422"/>
      <c r="E185" s="348">
        <f t="shared" si="111"/>
        <v>0.4</v>
      </c>
      <c r="F185" s="410"/>
      <c r="G185" s="348">
        <f t="shared" si="112"/>
        <v>0.4</v>
      </c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348">
        <v>0.4</v>
      </c>
      <c r="S185" s="410"/>
      <c r="T185" s="411"/>
      <c r="U185" s="411"/>
      <c r="V185" s="411"/>
      <c r="W185" s="411"/>
      <c r="X185" s="411"/>
      <c r="Y185" s="353">
        <f t="shared" si="113"/>
        <v>7152000</v>
      </c>
      <c r="Z185" s="407"/>
      <c r="AA185" s="408"/>
      <c r="AB185" s="407"/>
      <c r="AC185" s="407"/>
      <c r="AD185" s="407"/>
      <c r="AE185" s="407"/>
      <c r="AF185" s="407"/>
      <c r="AG185" s="407"/>
      <c r="AH185" s="407"/>
      <c r="AI185" s="407"/>
      <c r="AJ185" s="407"/>
      <c r="AK185" s="407"/>
      <c r="AL185" s="407"/>
      <c r="AM185" s="407"/>
      <c r="AN185" s="407"/>
      <c r="AO185" s="407"/>
      <c r="AP185" s="407"/>
      <c r="AQ185" s="407"/>
      <c r="AR185" s="407"/>
      <c r="AS185" s="407"/>
      <c r="AT185" s="406"/>
      <c r="AU185" s="17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</row>
    <row r="186" spans="1:75" ht="15.75">
      <c r="A186" s="409">
        <v>12</v>
      </c>
      <c r="B186" s="9" t="s">
        <v>30</v>
      </c>
      <c r="C186" s="422"/>
      <c r="D186" s="422"/>
      <c r="E186" s="348">
        <f t="shared" si="111"/>
        <v>0.4</v>
      </c>
      <c r="F186" s="410"/>
      <c r="G186" s="348">
        <f t="shared" si="112"/>
        <v>0.4</v>
      </c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348">
        <v>0.4</v>
      </c>
      <c r="S186" s="410"/>
      <c r="T186" s="411"/>
      <c r="U186" s="411"/>
      <c r="V186" s="411"/>
      <c r="W186" s="411"/>
      <c r="X186" s="411"/>
      <c r="Y186" s="353">
        <f t="shared" si="113"/>
        <v>7152000</v>
      </c>
      <c r="Z186" s="407"/>
      <c r="AA186" s="408"/>
      <c r="AB186" s="407"/>
      <c r="AC186" s="407"/>
      <c r="AD186" s="407"/>
      <c r="AE186" s="407"/>
      <c r="AF186" s="407"/>
      <c r="AG186" s="407"/>
      <c r="AH186" s="407"/>
      <c r="AI186" s="407"/>
      <c r="AJ186" s="407"/>
      <c r="AK186" s="407"/>
      <c r="AL186" s="407"/>
      <c r="AM186" s="407"/>
      <c r="AN186" s="407"/>
      <c r="AO186" s="407"/>
      <c r="AP186" s="407"/>
      <c r="AQ186" s="407"/>
      <c r="AR186" s="407"/>
      <c r="AS186" s="407"/>
      <c r="AT186" s="406"/>
      <c r="AU186" s="17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</row>
    <row r="187" spans="1:75" ht="15.75">
      <c r="A187" s="409">
        <v>13</v>
      </c>
      <c r="B187" s="9" t="s">
        <v>29</v>
      </c>
      <c r="C187" s="422"/>
      <c r="D187" s="422"/>
      <c r="E187" s="348">
        <f t="shared" si="111"/>
        <v>0.4</v>
      </c>
      <c r="F187" s="410"/>
      <c r="G187" s="348">
        <f t="shared" si="112"/>
        <v>0.4</v>
      </c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348">
        <v>0.4</v>
      </c>
      <c r="S187" s="410"/>
      <c r="T187" s="411"/>
      <c r="U187" s="411"/>
      <c r="V187" s="411"/>
      <c r="W187" s="411"/>
      <c r="X187" s="411"/>
      <c r="Y187" s="353">
        <f t="shared" si="113"/>
        <v>7152000</v>
      </c>
      <c r="Z187" s="407"/>
      <c r="AA187" s="408"/>
      <c r="AB187" s="407"/>
      <c r="AC187" s="407"/>
      <c r="AD187" s="407"/>
      <c r="AE187" s="407"/>
      <c r="AF187" s="407"/>
      <c r="AG187" s="407"/>
      <c r="AH187" s="407"/>
      <c r="AI187" s="407"/>
      <c r="AJ187" s="407"/>
      <c r="AK187" s="407"/>
      <c r="AL187" s="407"/>
      <c r="AM187" s="407"/>
      <c r="AN187" s="407"/>
      <c r="AO187" s="407"/>
      <c r="AP187" s="407"/>
      <c r="AQ187" s="407"/>
      <c r="AR187" s="407"/>
      <c r="AS187" s="407"/>
      <c r="AT187" s="406"/>
      <c r="AU187" s="17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</row>
    <row r="188" spans="1:75" ht="15.75">
      <c r="A188" s="409">
        <v>14</v>
      </c>
      <c r="B188" s="9" t="s">
        <v>28</v>
      </c>
      <c r="C188" s="422"/>
      <c r="D188" s="422"/>
      <c r="E188" s="348">
        <f t="shared" si="111"/>
        <v>0.4</v>
      </c>
      <c r="F188" s="410"/>
      <c r="G188" s="348">
        <f t="shared" si="112"/>
        <v>0.4</v>
      </c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348">
        <v>0.4</v>
      </c>
      <c r="S188" s="410"/>
      <c r="T188" s="411"/>
      <c r="U188" s="411"/>
      <c r="V188" s="411"/>
      <c r="W188" s="411"/>
      <c r="X188" s="411"/>
      <c r="Y188" s="353">
        <f t="shared" si="113"/>
        <v>7152000</v>
      </c>
      <c r="Z188" s="407"/>
      <c r="AA188" s="408"/>
      <c r="AB188" s="407"/>
      <c r="AC188" s="407"/>
      <c r="AD188" s="407"/>
      <c r="AE188" s="407"/>
      <c r="AF188" s="407"/>
      <c r="AG188" s="407"/>
      <c r="AH188" s="407"/>
      <c r="AI188" s="407"/>
      <c r="AJ188" s="407"/>
      <c r="AK188" s="407"/>
      <c r="AL188" s="407"/>
      <c r="AM188" s="407"/>
      <c r="AN188" s="407"/>
      <c r="AO188" s="407"/>
      <c r="AP188" s="407"/>
      <c r="AQ188" s="407"/>
      <c r="AR188" s="407"/>
      <c r="AS188" s="407"/>
      <c r="AT188" s="406"/>
      <c r="AU188" s="17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</row>
    <row r="189" spans="1:75" ht="31.5">
      <c r="A189" s="409">
        <v>15</v>
      </c>
      <c r="B189" s="9" t="s">
        <v>27</v>
      </c>
      <c r="C189" s="422"/>
      <c r="D189" s="422"/>
      <c r="E189" s="348">
        <f t="shared" si="111"/>
        <v>0.4</v>
      </c>
      <c r="F189" s="410"/>
      <c r="G189" s="348">
        <f t="shared" si="112"/>
        <v>0.4</v>
      </c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348">
        <v>0.4</v>
      </c>
      <c r="S189" s="410"/>
      <c r="T189" s="411"/>
      <c r="U189" s="411"/>
      <c r="V189" s="411"/>
      <c r="W189" s="411"/>
      <c r="X189" s="411"/>
      <c r="Y189" s="353">
        <f t="shared" si="113"/>
        <v>7152000</v>
      </c>
      <c r="Z189" s="407"/>
      <c r="AA189" s="408"/>
      <c r="AB189" s="407"/>
      <c r="AC189" s="407"/>
      <c r="AD189" s="407"/>
      <c r="AE189" s="407"/>
      <c r="AF189" s="407"/>
      <c r="AG189" s="407"/>
      <c r="AH189" s="407"/>
      <c r="AI189" s="407"/>
      <c r="AJ189" s="407"/>
      <c r="AK189" s="407"/>
      <c r="AL189" s="407"/>
      <c r="AM189" s="407"/>
      <c r="AN189" s="407"/>
      <c r="AO189" s="407"/>
      <c r="AP189" s="407"/>
      <c r="AQ189" s="407"/>
      <c r="AR189" s="407"/>
      <c r="AS189" s="407"/>
      <c r="AT189" s="406"/>
      <c r="AU189" s="17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</row>
    <row r="190" spans="1:75" ht="15.75">
      <c r="A190" s="409">
        <v>16</v>
      </c>
      <c r="B190" s="9" t="s">
        <v>26</v>
      </c>
      <c r="C190" s="422"/>
      <c r="D190" s="422"/>
      <c r="E190" s="348">
        <f t="shared" si="111"/>
        <v>0.4</v>
      </c>
      <c r="F190" s="410"/>
      <c r="G190" s="348">
        <f t="shared" si="112"/>
        <v>0.4</v>
      </c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348">
        <v>0.4</v>
      </c>
      <c r="S190" s="410"/>
      <c r="T190" s="411"/>
      <c r="U190" s="411"/>
      <c r="V190" s="411"/>
      <c r="W190" s="411"/>
      <c r="X190" s="411"/>
      <c r="Y190" s="353">
        <f t="shared" si="113"/>
        <v>7152000</v>
      </c>
      <c r="Z190" s="407"/>
      <c r="AA190" s="408"/>
      <c r="AB190" s="407"/>
      <c r="AC190" s="407"/>
      <c r="AD190" s="407"/>
      <c r="AE190" s="407"/>
      <c r="AF190" s="407"/>
      <c r="AG190" s="407"/>
      <c r="AH190" s="407"/>
      <c r="AI190" s="407"/>
      <c r="AJ190" s="407"/>
      <c r="AK190" s="407"/>
      <c r="AL190" s="407"/>
      <c r="AM190" s="407"/>
      <c r="AN190" s="407"/>
      <c r="AO190" s="407"/>
      <c r="AP190" s="407"/>
      <c r="AQ190" s="407"/>
      <c r="AR190" s="407"/>
      <c r="AS190" s="407"/>
      <c r="AT190" s="406"/>
      <c r="AU190" s="17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</row>
    <row r="191" spans="1:75" ht="15.75">
      <c r="A191" s="409">
        <v>17</v>
      </c>
      <c r="B191" s="9" t="s">
        <v>25</v>
      </c>
      <c r="C191" s="422"/>
      <c r="D191" s="422"/>
      <c r="E191" s="348">
        <f t="shared" si="111"/>
        <v>0.4</v>
      </c>
      <c r="F191" s="410"/>
      <c r="G191" s="348">
        <f t="shared" si="112"/>
        <v>0.4</v>
      </c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348">
        <v>0.4</v>
      </c>
      <c r="S191" s="410"/>
      <c r="T191" s="411"/>
      <c r="U191" s="411"/>
      <c r="V191" s="411"/>
      <c r="W191" s="411"/>
      <c r="X191" s="411"/>
      <c r="Y191" s="353">
        <f t="shared" si="113"/>
        <v>7152000</v>
      </c>
      <c r="Z191" s="407"/>
      <c r="AA191" s="408"/>
      <c r="AB191" s="407"/>
      <c r="AC191" s="407"/>
      <c r="AD191" s="407"/>
      <c r="AE191" s="407"/>
      <c r="AF191" s="407"/>
      <c r="AG191" s="407"/>
      <c r="AH191" s="407"/>
      <c r="AI191" s="407"/>
      <c r="AJ191" s="407"/>
      <c r="AK191" s="407"/>
      <c r="AL191" s="407"/>
      <c r="AM191" s="407"/>
      <c r="AN191" s="407"/>
      <c r="AO191" s="407"/>
      <c r="AP191" s="407"/>
      <c r="AQ191" s="407"/>
      <c r="AR191" s="407"/>
      <c r="AS191" s="407"/>
      <c r="AT191" s="406"/>
      <c r="AU191" s="17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</row>
    <row r="192" spans="1:75" ht="15.75">
      <c r="A192" s="409">
        <v>18</v>
      </c>
      <c r="B192" s="9" t="s">
        <v>24</v>
      </c>
      <c r="C192" s="422"/>
      <c r="D192" s="422"/>
      <c r="E192" s="348">
        <f t="shared" si="111"/>
        <v>0.4</v>
      </c>
      <c r="F192" s="410"/>
      <c r="G192" s="348">
        <f t="shared" si="112"/>
        <v>0.4</v>
      </c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348">
        <v>0.4</v>
      </c>
      <c r="S192" s="410"/>
      <c r="T192" s="411"/>
      <c r="U192" s="411"/>
      <c r="V192" s="411"/>
      <c r="W192" s="411"/>
      <c r="X192" s="411"/>
      <c r="Y192" s="353">
        <f t="shared" si="113"/>
        <v>7152000</v>
      </c>
      <c r="Z192" s="407"/>
      <c r="AA192" s="408"/>
      <c r="AB192" s="407"/>
      <c r="AC192" s="407"/>
      <c r="AD192" s="407"/>
      <c r="AE192" s="407"/>
      <c r="AF192" s="407"/>
      <c r="AG192" s="407"/>
      <c r="AH192" s="407"/>
      <c r="AI192" s="407"/>
      <c r="AJ192" s="407"/>
      <c r="AK192" s="407"/>
      <c r="AL192" s="407"/>
      <c r="AM192" s="407"/>
      <c r="AN192" s="407"/>
      <c r="AO192" s="407"/>
      <c r="AP192" s="407"/>
      <c r="AQ192" s="407"/>
      <c r="AR192" s="407"/>
      <c r="AS192" s="407"/>
      <c r="AT192" s="406"/>
      <c r="AU192" s="17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</row>
    <row r="193" spans="1:75" ht="15.75">
      <c r="A193" s="409">
        <v>19</v>
      </c>
      <c r="B193" s="9" t="s">
        <v>23</v>
      </c>
      <c r="C193" s="422"/>
      <c r="D193" s="422"/>
      <c r="E193" s="348">
        <f t="shared" si="111"/>
        <v>0.4</v>
      </c>
      <c r="F193" s="410"/>
      <c r="G193" s="348">
        <f t="shared" si="112"/>
        <v>0.4</v>
      </c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348">
        <v>0.4</v>
      </c>
      <c r="S193" s="410"/>
      <c r="T193" s="411"/>
      <c r="U193" s="411"/>
      <c r="V193" s="411"/>
      <c r="W193" s="411"/>
      <c r="X193" s="411"/>
      <c r="Y193" s="353">
        <f t="shared" si="113"/>
        <v>7152000</v>
      </c>
      <c r="Z193" s="407"/>
      <c r="AA193" s="408"/>
      <c r="AB193" s="407"/>
      <c r="AC193" s="407"/>
      <c r="AD193" s="407"/>
      <c r="AE193" s="407"/>
      <c r="AF193" s="407"/>
      <c r="AG193" s="407"/>
      <c r="AH193" s="407"/>
      <c r="AI193" s="407"/>
      <c r="AJ193" s="407"/>
      <c r="AK193" s="407"/>
      <c r="AL193" s="407"/>
      <c r="AM193" s="407"/>
      <c r="AN193" s="407"/>
      <c r="AO193" s="407"/>
      <c r="AP193" s="407"/>
      <c r="AQ193" s="407"/>
      <c r="AR193" s="407"/>
      <c r="AS193" s="407"/>
      <c r="AT193" s="406"/>
      <c r="AU193" s="17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</row>
    <row r="194" spans="1:75" ht="15.75">
      <c r="A194" s="409">
        <v>20</v>
      </c>
      <c r="B194" s="9" t="s">
        <v>22</v>
      </c>
      <c r="C194" s="422"/>
      <c r="D194" s="422"/>
      <c r="E194" s="348">
        <f t="shared" si="111"/>
        <v>0.4</v>
      </c>
      <c r="F194" s="410"/>
      <c r="G194" s="348">
        <f t="shared" si="112"/>
        <v>0.4</v>
      </c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348">
        <v>0.4</v>
      </c>
      <c r="S194" s="410"/>
      <c r="T194" s="411"/>
      <c r="U194" s="411"/>
      <c r="V194" s="411"/>
      <c r="W194" s="411"/>
      <c r="X194" s="411"/>
      <c r="Y194" s="353">
        <f t="shared" si="113"/>
        <v>7152000</v>
      </c>
      <c r="Z194" s="407"/>
      <c r="AA194" s="408"/>
      <c r="AB194" s="407"/>
      <c r="AC194" s="407"/>
      <c r="AD194" s="407"/>
      <c r="AE194" s="407"/>
      <c r="AF194" s="407"/>
      <c r="AG194" s="407"/>
      <c r="AH194" s="407"/>
      <c r="AI194" s="407"/>
      <c r="AJ194" s="407"/>
      <c r="AK194" s="407"/>
      <c r="AL194" s="407"/>
      <c r="AM194" s="407"/>
      <c r="AN194" s="407"/>
      <c r="AO194" s="407"/>
      <c r="AP194" s="407"/>
      <c r="AQ194" s="407"/>
      <c r="AR194" s="407"/>
      <c r="AS194" s="407"/>
      <c r="AT194" s="406"/>
      <c r="AU194" s="17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</row>
    <row r="195" spans="1:75" ht="15.75">
      <c r="A195" s="409">
        <v>21</v>
      </c>
      <c r="B195" s="9" t="s">
        <v>21</v>
      </c>
      <c r="C195" s="422"/>
      <c r="D195" s="422"/>
      <c r="E195" s="348">
        <f t="shared" si="111"/>
        <v>0.4</v>
      </c>
      <c r="F195" s="410"/>
      <c r="G195" s="348">
        <f t="shared" si="112"/>
        <v>0.4</v>
      </c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348">
        <v>0.4</v>
      </c>
      <c r="S195" s="410"/>
      <c r="T195" s="411"/>
      <c r="U195" s="411"/>
      <c r="V195" s="411"/>
      <c r="W195" s="411"/>
      <c r="X195" s="411"/>
      <c r="Y195" s="353">
        <f t="shared" si="113"/>
        <v>7152000</v>
      </c>
      <c r="Z195" s="407"/>
      <c r="AA195" s="408"/>
      <c r="AB195" s="407"/>
      <c r="AC195" s="407"/>
      <c r="AD195" s="407"/>
      <c r="AE195" s="407"/>
      <c r="AF195" s="407"/>
      <c r="AG195" s="407"/>
      <c r="AH195" s="407"/>
      <c r="AI195" s="407"/>
      <c r="AJ195" s="407"/>
      <c r="AK195" s="407"/>
      <c r="AL195" s="407"/>
      <c r="AM195" s="407"/>
      <c r="AN195" s="407"/>
      <c r="AO195" s="407"/>
      <c r="AP195" s="407"/>
      <c r="AQ195" s="407"/>
      <c r="AR195" s="407"/>
      <c r="AS195" s="407"/>
      <c r="AT195" s="406"/>
      <c r="AU195" s="17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</row>
    <row r="196" spans="1:75" ht="15.75">
      <c r="A196" s="409">
        <v>22</v>
      </c>
      <c r="B196" s="9" t="s">
        <v>20</v>
      </c>
      <c r="C196" s="422"/>
      <c r="D196" s="422"/>
      <c r="E196" s="348">
        <f t="shared" si="111"/>
        <v>0.4</v>
      </c>
      <c r="F196" s="410"/>
      <c r="G196" s="348">
        <f t="shared" si="112"/>
        <v>0.4</v>
      </c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348">
        <v>0.4</v>
      </c>
      <c r="S196" s="410"/>
      <c r="T196" s="411"/>
      <c r="U196" s="411"/>
      <c r="V196" s="411"/>
      <c r="W196" s="411"/>
      <c r="X196" s="411"/>
      <c r="Y196" s="353">
        <f t="shared" si="113"/>
        <v>7152000</v>
      </c>
      <c r="Z196" s="407"/>
      <c r="AA196" s="408"/>
      <c r="AB196" s="407"/>
      <c r="AC196" s="407"/>
      <c r="AD196" s="407"/>
      <c r="AE196" s="407"/>
      <c r="AF196" s="407"/>
      <c r="AG196" s="407"/>
      <c r="AH196" s="407"/>
      <c r="AI196" s="407"/>
      <c r="AJ196" s="407"/>
      <c r="AK196" s="407"/>
      <c r="AL196" s="407"/>
      <c r="AM196" s="407"/>
      <c r="AN196" s="407"/>
      <c r="AO196" s="407"/>
      <c r="AP196" s="407"/>
      <c r="AQ196" s="407"/>
      <c r="AR196" s="407"/>
      <c r="AS196" s="407"/>
      <c r="AT196" s="406"/>
      <c r="AU196" s="17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</row>
    <row r="197" spans="1:75" ht="15.75">
      <c r="A197" s="409">
        <v>23</v>
      </c>
      <c r="B197" s="9" t="s">
        <v>19</v>
      </c>
      <c r="C197" s="422"/>
      <c r="D197" s="422"/>
      <c r="E197" s="348">
        <f t="shared" si="111"/>
        <v>0.4</v>
      </c>
      <c r="F197" s="410"/>
      <c r="G197" s="348">
        <f t="shared" si="112"/>
        <v>0.4</v>
      </c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348">
        <v>0.4</v>
      </c>
      <c r="S197" s="410"/>
      <c r="T197" s="411"/>
      <c r="U197" s="411"/>
      <c r="V197" s="411"/>
      <c r="W197" s="411"/>
      <c r="X197" s="411"/>
      <c r="Y197" s="353">
        <f t="shared" si="113"/>
        <v>7152000</v>
      </c>
      <c r="Z197" s="407"/>
      <c r="AA197" s="408"/>
      <c r="AB197" s="407"/>
      <c r="AC197" s="407"/>
      <c r="AD197" s="407"/>
      <c r="AE197" s="407"/>
      <c r="AF197" s="407"/>
      <c r="AG197" s="407"/>
      <c r="AH197" s="407"/>
      <c r="AI197" s="407"/>
      <c r="AJ197" s="407"/>
      <c r="AK197" s="407"/>
      <c r="AL197" s="407"/>
      <c r="AM197" s="407"/>
      <c r="AN197" s="407"/>
      <c r="AO197" s="407"/>
      <c r="AP197" s="407"/>
      <c r="AQ197" s="407"/>
      <c r="AR197" s="407"/>
      <c r="AS197" s="407"/>
      <c r="AT197" s="406"/>
      <c r="AU197" s="17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</row>
    <row r="198" spans="1:75" ht="15.75">
      <c r="A198" s="409">
        <v>24</v>
      </c>
      <c r="B198" s="9" t="s">
        <v>18</v>
      </c>
      <c r="C198" s="422"/>
      <c r="D198" s="422"/>
      <c r="E198" s="348">
        <f t="shared" si="111"/>
        <v>0.4</v>
      </c>
      <c r="F198" s="410"/>
      <c r="G198" s="348">
        <f t="shared" si="112"/>
        <v>0.4</v>
      </c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348">
        <v>0.4</v>
      </c>
      <c r="S198" s="410"/>
      <c r="T198" s="411"/>
      <c r="U198" s="411"/>
      <c r="V198" s="411"/>
      <c r="W198" s="411"/>
      <c r="X198" s="411"/>
      <c r="Y198" s="353">
        <f t="shared" si="113"/>
        <v>7152000</v>
      </c>
      <c r="Z198" s="407"/>
      <c r="AA198" s="408"/>
      <c r="AB198" s="407"/>
      <c r="AC198" s="407"/>
      <c r="AD198" s="407"/>
      <c r="AE198" s="407"/>
      <c r="AF198" s="407"/>
      <c r="AG198" s="407"/>
      <c r="AH198" s="407"/>
      <c r="AI198" s="407"/>
      <c r="AJ198" s="407"/>
      <c r="AK198" s="407"/>
      <c r="AL198" s="407"/>
      <c r="AM198" s="407"/>
      <c r="AN198" s="407"/>
      <c r="AO198" s="407"/>
      <c r="AP198" s="407"/>
      <c r="AQ198" s="407"/>
      <c r="AR198" s="407"/>
      <c r="AS198" s="407"/>
      <c r="AT198" s="406"/>
      <c r="AU198" s="17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</row>
    <row r="199" spans="1:75" ht="15.75">
      <c r="A199" s="409">
        <v>25</v>
      </c>
      <c r="B199" s="9" t="s">
        <v>17</v>
      </c>
      <c r="C199" s="422"/>
      <c r="D199" s="422"/>
      <c r="E199" s="348">
        <f t="shared" si="111"/>
        <v>0.4</v>
      </c>
      <c r="F199" s="410"/>
      <c r="G199" s="348">
        <f t="shared" si="112"/>
        <v>0.4</v>
      </c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348">
        <v>0.4</v>
      </c>
      <c r="S199" s="410"/>
      <c r="T199" s="411"/>
      <c r="U199" s="411"/>
      <c r="V199" s="411"/>
      <c r="W199" s="411"/>
      <c r="X199" s="411"/>
      <c r="Y199" s="353">
        <f t="shared" si="113"/>
        <v>7152000</v>
      </c>
      <c r="Z199" s="407"/>
      <c r="AA199" s="408"/>
      <c r="AB199" s="407"/>
      <c r="AC199" s="407"/>
      <c r="AD199" s="407"/>
      <c r="AE199" s="407"/>
      <c r="AF199" s="407"/>
      <c r="AG199" s="407"/>
      <c r="AH199" s="407"/>
      <c r="AI199" s="407"/>
      <c r="AJ199" s="407"/>
      <c r="AK199" s="407"/>
      <c r="AL199" s="407"/>
      <c r="AM199" s="407"/>
      <c r="AN199" s="407"/>
      <c r="AO199" s="407"/>
      <c r="AP199" s="407"/>
      <c r="AQ199" s="407"/>
      <c r="AR199" s="407"/>
      <c r="AS199" s="407"/>
      <c r="AT199" s="406"/>
      <c r="AU199" s="17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</row>
    <row r="200" spans="1:75" ht="15.75">
      <c r="A200" s="409">
        <v>26</v>
      </c>
      <c r="B200" s="9" t="s">
        <v>16</v>
      </c>
      <c r="C200" s="422"/>
      <c r="D200" s="422"/>
      <c r="E200" s="348">
        <f t="shared" si="111"/>
        <v>0.4</v>
      </c>
      <c r="F200" s="410"/>
      <c r="G200" s="348">
        <f t="shared" si="112"/>
        <v>0.4</v>
      </c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348">
        <v>0.4</v>
      </c>
      <c r="S200" s="410"/>
      <c r="T200" s="411"/>
      <c r="U200" s="411"/>
      <c r="V200" s="411"/>
      <c r="W200" s="411"/>
      <c r="X200" s="411"/>
      <c r="Y200" s="353">
        <f t="shared" si="113"/>
        <v>7152000</v>
      </c>
      <c r="Z200" s="407"/>
      <c r="AA200" s="408"/>
      <c r="AB200" s="407"/>
      <c r="AC200" s="407"/>
      <c r="AD200" s="407"/>
      <c r="AE200" s="407"/>
      <c r="AF200" s="407"/>
      <c r="AG200" s="407"/>
      <c r="AH200" s="407"/>
      <c r="AI200" s="407"/>
      <c r="AJ200" s="407"/>
      <c r="AK200" s="407"/>
      <c r="AL200" s="407"/>
      <c r="AM200" s="407"/>
      <c r="AN200" s="407"/>
      <c r="AO200" s="407"/>
      <c r="AP200" s="407"/>
      <c r="AQ200" s="407"/>
      <c r="AR200" s="407"/>
      <c r="AS200" s="407"/>
      <c r="AT200" s="406"/>
      <c r="AU200" s="17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</row>
    <row r="201" spans="1:75" ht="15.75">
      <c r="A201" s="409">
        <v>27</v>
      </c>
      <c r="B201" s="9" t="s">
        <v>15</v>
      </c>
      <c r="C201" s="422"/>
      <c r="D201" s="422"/>
      <c r="E201" s="348">
        <f t="shared" si="111"/>
        <v>0.4</v>
      </c>
      <c r="F201" s="410"/>
      <c r="G201" s="348">
        <f t="shared" si="112"/>
        <v>0.4</v>
      </c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348">
        <v>0.4</v>
      </c>
      <c r="S201" s="410"/>
      <c r="T201" s="411"/>
      <c r="U201" s="411"/>
      <c r="V201" s="411"/>
      <c r="W201" s="411"/>
      <c r="X201" s="411"/>
      <c r="Y201" s="353">
        <f t="shared" si="113"/>
        <v>7152000</v>
      </c>
      <c r="Z201" s="407"/>
      <c r="AA201" s="408"/>
      <c r="AB201" s="407"/>
      <c r="AC201" s="407"/>
      <c r="AD201" s="407"/>
      <c r="AE201" s="407"/>
      <c r="AF201" s="407"/>
      <c r="AG201" s="407"/>
      <c r="AH201" s="407"/>
      <c r="AI201" s="407"/>
      <c r="AJ201" s="407"/>
      <c r="AK201" s="407"/>
      <c r="AL201" s="407"/>
      <c r="AM201" s="407"/>
      <c r="AN201" s="407"/>
      <c r="AO201" s="407"/>
      <c r="AP201" s="407"/>
      <c r="AQ201" s="407"/>
      <c r="AR201" s="407"/>
      <c r="AS201" s="407"/>
      <c r="AT201" s="406"/>
      <c r="AU201" s="17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</row>
    <row r="202" spans="1:75" ht="15.75">
      <c r="A202" s="396"/>
      <c r="B202" s="397"/>
      <c r="C202" s="420"/>
      <c r="D202" s="420"/>
      <c r="E202" s="270"/>
      <c r="F202" s="277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7"/>
      <c r="T202" s="270"/>
      <c r="U202" s="270"/>
      <c r="V202" s="270"/>
      <c r="W202" s="270"/>
      <c r="X202" s="271"/>
      <c r="Y202" s="278">
        <f t="shared" si="113"/>
        <v>0</v>
      </c>
      <c r="Z202" s="407"/>
      <c r="AA202" s="408"/>
      <c r="AB202" s="407"/>
      <c r="AC202" s="407"/>
      <c r="AD202" s="407"/>
      <c r="AE202" s="407"/>
      <c r="AF202" s="407"/>
      <c r="AG202" s="407"/>
      <c r="AH202" s="407"/>
      <c r="AI202" s="407"/>
      <c r="AJ202" s="407"/>
      <c r="AK202" s="407"/>
      <c r="AL202" s="407"/>
      <c r="AM202" s="407"/>
      <c r="AN202" s="407"/>
      <c r="AO202" s="407"/>
      <c r="AP202" s="407"/>
      <c r="AQ202" s="407"/>
      <c r="AR202" s="407"/>
      <c r="AS202" s="407"/>
      <c r="AT202" s="406"/>
      <c r="AU202" s="11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</row>
    <row r="203" spans="1:75" ht="15">
      <c r="A203" s="6"/>
      <c r="B203" s="5"/>
      <c r="C203" s="423"/>
      <c r="D203" s="423"/>
      <c r="E203" s="248"/>
      <c r="F203" s="239"/>
      <c r="G203" s="238"/>
      <c r="H203" s="238"/>
      <c r="I203" s="238"/>
      <c r="J203" s="238"/>
      <c r="K203" s="238"/>
      <c r="L203" s="238"/>
      <c r="M203" s="238"/>
      <c r="N203" s="238"/>
      <c r="O203" s="248"/>
      <c r="P203" s="238"/>
      <c r="Q203" s="238"/>
      <c r="R203" s="238"/>
      <c r="S203" s="239"/>
      <c r="T203" s="238"/>
      <c r="U203" s="248"/>
      <c r="V203" s="248"/>
      <c r="W203" s="248"/>
      <c r="X203" s="238"/>
      <c r="Y203" s="240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</sheetData>
  <sheetProtection/>
  <mergeCells count="22">
    <mergeCell ref="Y7:Y9"/>
    <mergeCell ref="Z7:Z9"/>
    <mergeCell ref="AS8:AS9"/>
    <mergeCell ref="AA7:AS7"/>
    <mergeCell ref="A2:S2"/>
    <mergeCell ref="A4:Z4"/>
    <mergeCell ref="A5:Z5"/>
    <mergeCell ref="A7:A9"/>
    <mergeCell ref="B7:B9"/>
    <mergeCell ref="C7:C9"/>
    <mergeCell ref="D7:D9"/>
    <mergeCell ref="E7:X7"/>
    <mergeCell ref="E8:E9"/>
    <mergeCell ref="F8:F9"/>
    <mergeCell ref="G8:G9"/>
    <mergeCell ref="H8:X8"/>
    <mergeCell ref="AU7:AU9"/>
    <mergeCell ref="AT7:AT9"/>
    <mergeCell ref="AA8:AA9"/>
    <mergeCell ref="AB8:AB9"/>
    <mergeCell ref="AC8:AC9"/>
    <mergeCell ref="AD8:AR8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BW169"/>
  <sheetViews>
    <sheetView zoomScale="80" zoomScaleNormal="80" zoomScalePageLayoutView="0" workbookViewId="0" topLeftCell="A1">
      <pane ySplit="9" topLeftCell="A91" activePane="bottomLeft" state="frozen"/>
      <selection pane="topLeft" activeCell="A1" sqref="A1"/>
      <selection pane="bottomLeft" activeCell="X98" sqref="X98"/>
    </sheetView>
  </sheetViews>
  <sheetFormatPr defaultColWidth="9.140625" defaultRowHeight="15"/>
  <cols>
    <col min="1" max="1" width="6.00390625" style="35" customWidth="1"/>
    <col min="2" max="2" width="26.421875" style="66" customWidth="1"/>
    <col min="3" max="3" width="9.7109375" style="67" customWidth="1"/>
    <col min="4" max="4" width="11.140625" style="68" customWidth="1"/>
    <col min="5" max="5" width="9.8515625" style="67" customWidth="1"/>
    <col min="6" max="6" width="8.140625" style="67" customWidth="1"/>
    <col min="7" max="7" width="10.00390625" style="67" customWidth="1"/>
    <col min="8" max="8" width="7.7109375" style="67" customWidth="1"/>
    <col min="9" max="9" width="6.8515625" style="67" customWidth="1"/>
    <col min="10" max="10" width="8.57421875" style="67" customWidth="1"/>
    <col min="11" max="11" width="6.421875" style="67" customWidth="1"/>
    <col min="12" max="12" width="8.28125" style="67" customWidth="1"/>
    <col min="13" max="13" width="7.7109375" style="67" customWidth="1"/>
    <col min="14" max="14" width="9.57421875" style="67" customWidth="1"/>
    <col min="15" max="15" width="6.7109375" style="67" customWidth="1"/>
    <col min="16" max="16" width="6.57421875" style="67" customWidth="1"/>
    <col min="17" max="17" width="6.8515625" style="67" customWidth="1"/>
    <col min="18" max="19" width="9.140625" style="67" customWidth="1"/>
    <col min="20" max="20" width="7.8515625" style="67" customWidth="1"/>
    <col min="21" max="21" width="6.57421875" style="67" customWidth="1"/>
    <col min="22" max="22" width="11.8515625" style="67" customWidth="1"/>
    <col min="23" max="23" width="19.00390625" style="90" customWidth="1"/>
    <col min="24" max="24" width="17.421875" style="35" customWidth="1"/>
    <col min="25" max="25" width="18.421875" style="35" bestFit="1" customWidth="1"/>
    <col min="26" max="26" width="15.140625" style="35" bestFit="1" customWidth="1"/>
    <col min="27" max="16384" width="9.140625" style="35" customWidth="1"/>
  </cols>
  <sheetData>
    <row r="1" spans="1:23" s="30" customFormat="1" ht="12.75">
      <c r="A1" s="30" t="s">
        <v>1</v>
      </c>
      <c r="B1" s="31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 t="s">
        <v>221</v>
      </c>
      <c r="W1" s="81"/>
    </row>
    <row r="2" spans="1:23" ht="15" customHeight="1" hidden="1">
      <c r="A2" s="599" t="s">
        <v>219</v>
      </c>
      <c r="B2" s="599"/>
      <c r="C2" s="599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82"/>
    </row>
    <row r="3" spans="1:23" ht="15" customHeight="1" hidden="1">
      <c r="A3" s="36"/>
      <c r="B3" s="31"/>
      <c r="C3" s="37"/>
      <c r="D3" s="3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83"/>
    </row>
    <row r="4" spans="1:24" ht="15" customHeight="1">
      <c r="A4" s="599" t="s">
        <v>222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</row>
    <row r="5" spans="1:24" ht="15" customHeight="1">
      <c r="A5" s="600" t="s">
        <v>223</v>
      </c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0"/>
      <c r="R5" s="600"/>
      <c r="S5" s="600"/>
      <c r="T5" s="600"/>
      <c r="U5" s="600"/>
      <c r="V5" s="600"/>
      <c r="W5" s="600"/>
      <c r="X5" s="600"/>
    </row>
    <row r="6" spans="1:24" ht="15" customHeight="1">
      <c r="A6" s="36"/>
      <c r="B6" s="31"/>
      <c r="C6" s="37"/>
      <c r="D6" s="33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83"/>
      <c r="X6" s="38"/>
    </row>
    <row r="7" spans="1:24" ht="15" customHeight="1">
      <c r="A7" s="601" t="s">
        <v>0</v>
      </c>
      <c r="B7" s="601" t="s">
        <v>217</v>
      </c>
      <c r="C7" s="604" t="s">
        <v>224</v>
      </c>
      <c r="D7" s="607" t="s">
        <v>225</v>
      </c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8" t="s">
        <v>220</v>
      </c>
      <c r="X7" s="611" t="s">
        <v>2</v>
      </c>
    </row>
    <row r="8" spans="1:24" s="39" customFormat="1" ht="28.5" customHeight="1">
      <c r="A8" s="602"/>
      <c r="B8" s="602"/>
      <c r="C8" s="605"/>
      <c r="D8" s="612" t="s">
        <v>13</v>
      </c>
      <c r="E8" s="606" t="s">
        <v>212</v>
      </c>
      <c r="F8" s="606" t="s">
        <v>211</v>
      </c>
      <c r="G8" s="614" t="s">
        <v>9</v>
      </c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598" t="s">
        <v>194</v>
      </c>
      <c r="W8" s="609"/>
      <c r="X8" s="611"/>
    </row>
    <row r="9" spans="1:25" s="39" customFormat="1" ht="148.5" customHeight="1">
      <c r="A9" s="603"/>
      <c r="B9" s="603"/>
      <c r="C9" s="606"/>
      <c r="D9" s="613"/>
      <c r="E9" s="598"/>
      <c r="F9" s="598"/>
      <c r="G9" s="40" t="s">
        <v>210</v>
      </c>
      <c r="H9" s="40" t="s">
        <v>226</v>
      </c>
      <c r="I9" s="40" t="s">
        <v>208</v>
      </c>
      <c r="J9" s="40" t="s">
        <v>207</v>
      </c>
      <c r="K9" s="40" t="s">
        <v>206</v>
      </c>
      <c r="L9" s="40" t="s">
        <v>205</v>
      </c>
      <c r="M9" s="40" t="s">
        <v>204</v>
      </c>
      <c r="N9" s="40" t="s">
        <v>203</v>
      </c>
      <c r="O9" s="40" t="s">
        <v>202</v>
      </c>
      <c r="P9" s="40" t="s">
        <v>201</v>
      </c>
      <c r="Q9" s="40" t="s">
        <v>200</v>
      </c>
      <c r="R9" s="40" t="s">
        <v>199</v>
      </c>
      <c r="S9" s="40" t="s">
        <v>198</v>
      </c>
      <c r="T9" s="40" t="s">
        <v>227</v>
      </c>
      <c r="U9" s="41" t="s">
        <v>195</v>
      </c>
      <c r="V9" s="598"/>
      <c r="W9" s="610"/>
      <c r="X9" s="611"/>
      <c r="Y9" s="42"/>
    </row>
    <row r="10" spans="1:24" s="48" customFormat="1" ht="24" customHeight="1">
      <c r="A10" s="43">
        <v>1</v>
      </c>
      <c r="B10" s="44" t="s">
        <v>193</v>
      </c>
      <c r="C10" s="45" t="s">
        <v>192</v>
      </c>
      <c r="D10" s="46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84" t="s">
        <v>228</v>
      </c>
      <c r="X10" s="47"/>
    </row>
    <row r="11" spans="1:24" s="51" customFormat="1" ht="18" customHeight="1">
      <c r="A11" s="49"/>
      <c r="B11" s="49" t="s">
        <v>170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85"/>
      <c r="X11" s="50"/>
    </row>
    <row r="12" spans="1:24" s="51" customFormat="1" ht="21" customHeight="1">
      <c r="A12" s="52" t="s">
        <v>3</v>
      </c>
      <c r="B12" s="53" t="s">
        <v>169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85">
        <f>W13+W22+W30+W38+W101</f>
        <v>13804274580.7</v>
      </c>
      <c r="X12" s="50"/>
    </row>
    <row r="13" spans="1:24" s="51" customFormat="1" ht="12.75">
      <c r="A13" s="52">
        <v>1</v>
      </c>
      <c r="B13" s="53" t="s">
        <v>229</v>
      </c>
      <c r="C13" s="54">
        <f>+C19</f>
        <v>0</v>
      </c>
      <c r="D13" s="54">
        <f>SUM(D15:D21)</f>
        <v>38.373000000000005</v>
      </c>
      <c r="E13" s="54">
        <f aca="true" t="shared" si="0" ref="E13:X13">SUM(E15:E21)</f>
        <v>19.81</v>
      </c>
      <c r="F13" s="54">
        <f t="shared" si="0"/>
        <v>13.8254</v>
      </c>
      <c r="G13" s="54">
        <f t="shared" si="0"/>
        <v>4.2</v>
      </c>
      <c r="H13" s="54">
        <f t="shared" si="0"/>
        <v>0.35</v>
      </c>
      <c r="I13" s="54">
        <f t="shared" si="0"/>
        <v>0.24359999999999996</v>
      </c>
      <c r="J13" s="54">
        <f t="shared" si="0"/>
        <v>9.031799999999999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4">
        <f t="shared" si="0"/>
        <v>0</v>
      </c>
      <c r="Q13" s="54">
        <f t="shared" si="0"/>
        <v>0</v>
      </c>
      <c r="R13" s="54">
        <f t="shared" si="0"/>
        <v>0</v>
      </c>
      <c r="S13" s="54">
        <f t="shared" si="0"/>
        <v>0</v>
      </c>
      <c r="T13" s="54">
        <f t="shared" si="0"/>
        <v>0</v>
      </c>
      <c r="U13" s="54">
        <f t="shared" si="0"/>
        <v>0</v>
      </c>
      <c r="V13" s="54">
        <f t="shared" si="0"/>
        <v>4.7376</v>
      </c>
      <c r="W13" s="86">
        <f t="shared" si="0"/>
        <v>596385835.5</v>
      </c>
      <c r="X13" s="54">
        <f t="shared" si="0"/>
        <v>0</v>
      </c>
    </row>
    <row r="14" spans="1:24" s="51" customFormat="1" ht="25.5">
      <c r="A14" s="91" t="s">
        <v>86</v>
      </c>
      <c r="B14" s="92" t="s">
        <v>233</v>
      </c>
      <c r="C14" s="93">
        <v>6</v>
      </c>
      <c r="D14" s="93">
        <f>SUM(D15:D21)</f>
        <v>38.373000000000005</v>
      </c>
      <c r="E14" s="93">
        <f>SUM(E15:E21)</f>
        <v>19.81</v>
      </c>
      <c r="F14" s="93">
        <f>SUM(F15:F21)</f>
        <v>13.8254</v>
      </c>
      <c r="G14" s="93">
        <f>SUM(G15:G21)</f>
        <v>4.2</v>
      </c>
      <c r="H14" s="93">
        <f>SUM(H15:H21)</f>
        <v>0.35</v>
      </c>
      <c r="I14" s="93">
        <f aca="true" t="shared" si="1" ref="I14:U14">SUM(I15:I21)</f>
        <v>0.24359999999999996</v>
      </c>
      <c r="J14" s="93">
        <f>SUM(J15:J21)</f>
        <v>9.031799999999999</v>
      </c>
      <c r="K14" s="93">
        <f t="shared" si="1"/>
        <v>0</v>
      </c>
      <c r="L14" s="93">
        <f>SUM(L15:L21)</f>
        <v>0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>SUM(V15:V21)</f>
        <v>4.7376</v>
      </c>
      <c r="W14" s="93">
        <f>SUM(W15:W21)</f>
        <v>596385835.5</v>
      </c>
      <c r="X14" s="93"/>
    </row>
    <row r="15" spans="1:25" s="48" customFormat="1" ht="30" customHeight="1">
      <c r="A15" s="78">
        <v>1</v>
      </c>
      <c r="B15" s="69" t="s">
        <v>167</v>
      </c>
      <c r="C15" s="71"/>
      <c r="D15" s="79">
        <f aca="true" t="shared" si="2" ref="D15:D21">E15+F15+V15</f>
        <v>8.109499999999999</v>
      </c>
      <c r="E15" s="70">
        <v>4.06</v>
      </c>
      <c r="F15" s="71">
        <f>SUM(G15:U15)</f>
        <v>3.0953999999999997</v>
      </c>
      <c r="G15" s="72">
        <v>0.7</v>
      </c>
      <c r="H15" s="71"/>
      <c r="I15" s="71">
        <f>E15*6%</f>
        <v>0.24359999999999996</v>
      </c>
      <c r="J15" s="73">
        <f>(E15+H15+I15)*50%</f>
        <v>2.1517999999999997</v>
      </c>
      <c r="K15" s="71"/>
      <c r="L15" s="74"/>
      <c r="M15" s="71"/>
      <c r="N15" s="71"/>
      <c r="O15" s="71"/>
      <c r="P15" s="71"/>
      <c r="Q15" s="71"/>
      <c r="R15" s="71"/>
      <c r="S15" s="71"/>
      <c r="T15" s="71"/>
      <c r="U15" s="71"/>
      <c r="V15" s="75">
        <f>(E15+H15)*23.5%</f>
        <v>0.9540999999999998</v>
      </c>
      <c r="W15" s="89">
        <f>(D15*9*1490000)+(8.41*1490000*3)</f>
        <v>146341095</v>
      </c>
      <c r="X15" s="71"/>
      <c r="Y15" s="80">
        <f>J15+L15+G15</f>
        <v>2.8518</v>
      </c>
    </row>
    <row r="16" spans="1:24" s="48" customFormat="1" ht="30" customHeight="1">
      <c r="A16" s="78">
        <v>2</v>
      </c>
      <c r="B16" s="76" t="s">
        <v>166</v>
      </c>
      <c r="C16" s="71"/>
      <c r="D16" s="79">
        <f t="shared" si="2"/>
        <v>4.7599</v>
      </c>
      <c r="E16" s="77">
        <v>2.34</v>
      </c>
      <c r="F16" s="71">
        <f aca="true" t="shared" si="3" ref="F16:F21">SUM(G16:U16)</f>
        <v>1.8699999999999999</v>
      </c>
      <c r="G16" s="72">
        <v>0.7</v>
      </c>
      <c r="H16" s="71"/>
      <c r="I16" s="71"/>
      <c r="J16" s="73">
        <f aca="true" t="shared" si="4" ref="J16:J21">(E16+H16)*50%</f>
        <v>1.17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5">
        <f aca="true" t="shared" si="5" ref="V16:V21">(E16+H16)*23.5%</f>
        <v>0.5498999999999999</v>
      </c>
      <c r="W16" s="89">
        <f>D16*12*1490000</f>
        <v>85107012</v>
      </c>
      <c r="X16" s="71"/>
    </row>
    <row r="17" spans="1:24" s="48" customFormat="1" ht="30" customHeight="1">
      <c r="A17" s="78">
        <v>3</v>
      </c>
      <c r="B17" s="76" t="s">
        <v>231</v>
      </c>
      <c r="C17" s="71"/>
      <c r="D17" s="79">
        <f t="shared" si="2"/>
        <v>4.7599</v>
      </c>
      <c r="E17" s="77">
        <v>2.34</v>
      </c>
      <c r="F17" s="71">
        <f t="shared" si="3"/>
        <v>1.8699999999999999</v>
      </c>
      <c r="G17" s="72">
        <v>0.7</v>
      </c>
      <c r="H17" s="71"/>
      <c r="I17" s="71"/>
      <c r="J17" s="73">
        <f t="shared" si="4"/>
        <v>1.17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5">
        <f t="shared" si="5"/>
        <v>0.5498999999999999</v>
      </c>
      <c r="W17" s="89">
        <f>D17*12*1490000</f>
        <v>85107012</v>
      </c>
      <c r="X17" s="71"/>
    </row>
    <row r="18" spans="1:24" s="48" customFormat="1" ht="30" customHeight="1">
      <c r="A18" s="78">
        <v>4</v>
      </c>
      <c r="B18" s="76" t="s">
        <v>163</v>
      </c>
      <c r="C18" s="71"/>
      <c r="D18" s="79">
        <f t="shared" si="2"/>
        <v>4.3435</v>
      </c>
      <c r="E18" s="77">
        <v>2.1</v>
      </c>
      <c r="F18" s="71">
        <f t="shared" si="3"/>
        <v>1.75</v>
      </c>
      <c r="G18" s="72">
        <v>0.7</v>
      </c>
      <c r="H18" s="71"/>
      <c r="I18" s="71"/>
      <c r="J18" s="73">
        <f t="shared" si="4"/>
        <v>1.05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5">
        <f t="shared" si="5"/>
        <v>0.4935</v>
      </c>
      <c r="W18" s="89">
        <f>D18*12*1490000</f>
        <v>77661780</v>
      </c>
      <c r="X18" s="71"/>
    </row>
    <row r="19" spans="1:24" s="48" customFormat="1" ht="30" customHeight="1">
      <c r="A19" s="78">
        <v>5</v>
      </c>
      <c r="B19" s="76" t="s">
        <v>165</v>
      </c>
      <c r="C19" s="71"/>
      <c r="D19" s="79">
        <f t="shared" si="2"/>
        <v>5.33245</v>
      </c>
      <c r="E19" s="77">
        <v>2.67</v>
      </c>
      <c r="F19" s="71">
        <f t="shared" si="3"/>
        <v>2.035</v>
      </c>
      <c r="G19" s="72">
        <v>0.7</v>
      </c>
      <c r="H19" s="71"/>
      <c r="I19" s="71"/>
      <c r="J19" s="73">
        <f t="shared" si="4"/>
        <v>1.335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5">
        <f t="shared" si="5"/>
        <v>0.62745</v>
      </c>
      <c r="W19" s="89">
        <f>D19*12*1490000</f>
        <v>95344206</v>
      </c>
      <c r="X19" s="71"/>
    </row>
    <row r="20" spans="1:26" s="48" customFormat="1" ht="30" customHeight="1">
      <c r="A20" s="78"/>
      <c r="B20" s="69" t="s">
        <v>264</v>
      </c>
      <c r="C20" s="71"/>
      <c r="D20" s="79">
        <f t="shared" si="2"/>
        <v>2.8899</v>
      </c>
      <c r="E20" s="70">
        <v>2.34</v>
      </c>
      <c r="F20" s="71">
        <f t="shared" si="3"/>
        <v>0</v>
      </c>
      <c r="G20" s="72"/>
      <c r="H20" s="71"/>
      <c r="I20" s="71"/>
      <c r="J20" s="73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5">
        <f t="shared" si="5"/>
        <v>0.5498999999999999</v>
      </c>
      <c r="W20" s="89">
        <f>D20*5*1490000</f>
        <v>21529755</v>
      </c>
      <c r="X20" s="71"/>
      <c r="Z20" s="48">
        <f>W20+W29</f>
        <v>73201167</v>
      </c>
    </row>
    <row r="21" spans="1:24" s="48" customFormat="1" ht="30" customHeight="1">
      <c r="A21" s="78">
        <v>6</v>
      </c>
      <c r="B21" s="69" t="s">
        <v>232</v>
      </c>
      <c r="C21" s="71"/>
      <c r="D21" s="79">
        <f t="shared" si="2"/>
        <v>8.17785</v>
      </c>
      <c r="E21" s="70">
        <v>3.96</v>
      </c>
      <c r="F21" s="71">
        <f t="shared" si="3"/>
        <v>3.2049999999999996</v>
      </c>
      <c r="G21" s="72">
        <v>0.7</v>
      </c>
      <c r="H21" s="71">
        <v>0.35</v>
      </c>
      <c r="I21" s="71"/>
      <c r="J21" s="73">
        <f t="shared" si="4"/>
        <v>2.155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5">
        <f t="shared" si="5"/>
        <v>1.0128499999999998</v>
      </c>
      <c r="W21" s="89">
        <f>D21*7*1490000</f>
        <v>85294975.5</v>
      </c>
      <c r="X21" s="71"/>
    </row>
    <row r="22" spans="1:24" s="51" customFormat="1" ht="12.75">
      <c r="A22" s="52">
        <v>2</v>
      </c>
      <c r="B22" s="53" t="s">
        <v>230</v>
      </c>
      <c r="C22" s="54"/>
      <c r="D22" s="57">
        <f>D23</f>
        <v>29.81335</v>
      </c>
      <c r="E22" s="57">
        <f aca="true" t="shared" si="6" ref="E22:V22">E23</f>
        <v>15.41</v>
      </c>
      <c r="F22" s="57">
        <f t="shared" si="6"/>
        <v>10.735</v>
      </c>
      <c r="G22" s="57">
        <f t="shared" si="6"/>
        <v>3.5</v>
      </c>
      <c r="H22" s="57">
        <f t="shared" si="6"/>
        <v>0.2</v>
      </c>
      <c r="I22" s="57">
        <f t="shared" si="6"/>
        <v>0</v>
      </c>
      <c r="J22" s="57">
        <f t="shared" si="6"/>
        <v>6.635000000000001</v>
      </c>
      <c r="K22" s="57">
        <f t="shared" si="6"/>
        <v>0</v>
      </c>
      <c r="L22" s="57">
        <f t="shared" si="6"/>
        <v>0</v>
      </c>
      <c r="M22" s="57">
        <f t="shared" si="6"/>
        <v>0</v>
      </c>
      <c r="N22" s="57">
        <f t="shared" si="6"/>
        <v>0</v>
      </c>
      <c r="O22" s="57">
        <f t="shared" si="6"/>
        <v>0</v>
      </c>
      <c r="P22" s="57">
        <f t="shared" si="6"/>
        <v>0</v>
      </c>
      <c r="Q22" s="57">
        <f t="shared" si="6"/>
        <v>0</v>
      </c>
      <c r="R22" s="57">
        <f t="shared" si="6"/>
        <v>0</v>
      </c>
      <c r="S22" s="57">
        <f t="shared" si="6"/>
        <v>0</v>
      </c>
      <c r="T22" s="57">
        <f t="shared" si="6"/>
        <v>0</v>
      </c>
      <c r="U22" s="57">
        <f t="shared" si="6"/>
        <v>0.4</v>
      </c>
      <c r="V22" s="57">
        <f t="shared" si="6"/>
        <v>3.66835</v>
      </c>
      <c r="W22" s="57">
        <f>W23</f>
        <v>523951273.5</v>
      </c>
      <c r="X22" s="95"/>
    </row>
    <row r="23" spans="1:54" s="51" customFormat="1" ht="25.5">
      <c r="A23" s="91" t="s">
        <v>86</v>
      </c>
      <c r="B23" s="92" t="s">
        <v>233</v>
      </c>
      <c r="C23" s="57">
        <v>6</v>
      </c>
      <c r="D23" s="136">
        <f>SUM(D24:D29)</f>
        <v>29.81335</v>
      </c>
      <c r="E23" s="136">
        <f>SUM(E24:E29)</f>
        <v>15.41</v>
      </c>
      <c r="F23" s="136">
        <f>SUM(F24:F29)</f>
        <v>10.735</v>
      </c>
      <c r="G23" s="136">
        <f>SUM(G24:G29)</f>
        <v>3.5</v>
      </c>
      <c r="H23" s="136">
        <f>SUM(H24:H29)</f>
        <v>0.2</v>
      </c>
      <c r="I23" s="136">
        <f aca="true" t="shared" si="7" ref="I23:W23">SUM(I24:I29)</f>
        <v>0</v>
      </c>
      <c r="J23" s="136">
        <f>SUM(J24:J29)</f>
        <v>6.635000000000001</v>
      </c>
      <c r="K23" s="136">
        <f t="shared" si="7"/>
        <v>0</v>
      </c>
      <c r="L23" s="136">
        <f t="shared" si="7"/>
        <v>0</v>
      </c>
      <c r="M23" s="136">
        <f t="shared" si="7"/>
        <v>0</v>
      </c>
      <c r="N23" s="136">
        <f t="shared" si="7"/>
        <v>0</v>
      </c>
      <c r="O23" s="136">
        <f t="shared" si="7"/>
        <v>0</v>
      </c>
      <c r="P23" s="136">
        <f t="shared" si="7"/>
        <v>0</v>
      </c>
      <c r="Q23" s="136">
        <f t="shared" si="7"/>
        <v>0</v>
      </c>
      <c r="R23" s="136">
        <f t="shared" si="7"/>
        <v>0</v>
      </c>
      <c r="S23" s="136">
        <f t="shared" si="7"/>
        <v>0</v>
      </c>
      <c r="T23" s="136">
        <f t="shared" si="7"/>
        <v>0</v>
      </c>
      <c r="U23" s="136">
        <f>SUM(U24:U29)</f>
        <v>0.4</v>
      </c>
      <c r="V23" s="136">
        <f>SUM(V24:V29)</f>
        <v>3.66835</v>
      </c>
      <c r="W23" s="87">
        <f t="shared" si="7"/>
        <v>523951273.5</v>
      </c>
      <c r="X23" s="95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</row>
    <row r="24" spans="1:54" s="97" customFormat="1" ht="21.75" customHeight="1">
      <c r="A24" s="98">
        <v>1</v>
      </c>
      <c r="B24" s="94" t="s">
        <v>234</v>
      </c>
      <c r="C24" s="95"/>
      <c r="D24" s="99">
        <f aca="true" t="shared" si="8" ref="D24:D29">E24+F24+V24</f>
        <v>5.53245</v>
      </c>
      <c r="E24" s="96">
        <v>2.67</v>
      </c>
      <c r="F24" s="71">
        <f aca="true" t="shared" si="9" ref="F24:F29">SUM(G24:U24)</f>
        <v>2.2350000000000003</v>
      </c>
      <c r="G24" s="72">
        <v>0.7</v>
      </c>
      <c r="H24" s="75"/>
      <c r="I24" s="95"/>
      <c r="J24" s="73">
        <f>(E24+H24)*50%</f>
        <v>1.335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75">
        <v>0.2</v>
      </c>
      <c r="V24" s="75">
        <f aca="true" t="shared" si="10" ref="V24:V29">(E24+H24)*23.5%</f>
        <v>0.62745</v>
      </c>
      <c r="W24" s="89">
        <f>(D24*8*1490000)+(4.96*4*1490000)</f>
        <v>95508404</v>
      </c>
      <c r="X24" s="95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</row>
    <row r="25" spans="1:54" s="97" customFormat="1" ht="21.75" customHeight="1">
      <c r="A25" s="98">
        <v>2</v>
      </c>
      <c r="B25" s="94" t="s">
        <v>235</v>
      </c>
      <c r="C25" s="95"/>
      <c r="D25" s="99">
        <f t="shared" si="8"/>
        <v>5.67945</v>
      </c>
      <c r="E25" s="96">
        <v>2.67</v>
      </c>
      <c r="F25" s="71">
        <f t="shared" si="9"/>
        <v>2.335</v>
      </c>
      <c r="G25" s="72">
        <v>0.7</v>
      </c>
      <c r="H25" s="75">
        <v>0.2</v>
      </c>
      <c r="I25" s="95"/>
      <c r="J25" s="73">
        <f>(E25+H25)*50%</f>
        <v>1.435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75"/>
      <c r="V25" s="75">
        <f t="shared" si="10"/>
        <v>0.67445</v>
      </c>
      <c r="W25" s="89">
        <f>(D25*7*1490000)+(4.76*4*1490000)+(5.532*1490000*1)</f>
        <v>95848943.5</v>
      </c>
      <c r="X25" s="95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</row>
    <row r="26" spans="1:54" s="97" customFormat="1" ht="21.75" customHeight="1">
      <c r="A26" s="98">
        <v>3</v>
      </c>
      <c r="B26" s="94" t="s">
        <v>236</v>
      </c>
      <c r="C26" s="95"/>
      <c r="D26" s="99">
        <f t="shared" si="8"/>
        <v>4.7599</v>
      </c>
      <c r="E26" s="96">
        <v>2.34</v>
      </c>
      <c r="F26" s="71">
        <f t="shared" si="9"/>
        <v>1.8699999999999999</v>
      </c>
      <c r="G26" s="72">
        <v>0.7</v>
      </c>
      <c r="H26" s="75"/>
      <c r="I26" s="95"/>
      <c r="J26" s="73">
        <f>(E26+H26)*50%</f>
        <v>1.17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75"/>
      <c r="V26" s="75">
        <f>(E26+H26)*23.5%</f>
        <v>0.5498999999999999</v>
      </c>
      <c r="W26" s="89">
        <f>D26*12*1490000</f>
        <v>85107012</v>
      </c>
      <c r="X26" s="95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</row>
    <row r="27" spans="1:54" s="97" customFormat="1" ht="21.75" customHeight="1">
      <c r="A27" s="98">
        <v>4</v>
      </c>
      <c r="B27" s="94" t="s">
        <v>84</v>
      </c>
      <c r="C27" s="95"/>
      <c r="D27" s="99">
        <f t="shared" si="8"/>
        <v>6.47755</v>
      </c>
      <c r="E27" s="96">
        <v>3.33</v>
      </c>
      <c r="F27" s="71">
        <f t="shared" si="9"/>
        <v>2.365</v>
      </c>
      <c r="G27" s="72">
        <v>0.7</v>
      </c>
      <c r="H27" s="75"/>
      <c r="I27" s="95"/>
      <c r="J27" s="73">
        <f>(E27+H27)*50%</f>
        <v>1.665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75"/>
      <c r="V27" s="75">
        <f>(E27+H27)*23.5%</f>
        <v>0.78255</v>
      </c>
      <c r="W27" s="89">
        <f>D27*12*1490000</f>
        <v>115818594</v>
      </c>
      <c r="X27" s="95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</row>
    <row r="28" spans="1:54" s="97" customFormat="1" ht="21.75" customHeight="1">
      <c r="A28" s="98">
        <v>5</v>
      </c>
      <c r="B28" s="94" t="s">
        <v>237</v>
      </c>
      <c r="C28" s="95"/>
      <c r="D28" s="99">
        <f t="shared" si="8"/>
        <v>4.4741</v>
      </c>
      <c r="E28" s="96">
        <v>2.06</v>
      </c>
      <c r="F28" s="71">
        <f t="shared" si="9"/>
        <v>1.93</v>
      </c>
      <c r="G28" s="72">
        <v>0.7</v>
      </c>
      <c r="H28" s="75"/>
      <c r="I28" s="95"/>
      <c r="J28" s="73">
        <f>(E28+H28)*50%</f>
        <v>1.03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75">
        <v>0.2</v>
      </c>
      <c r="V28" s="75">
        <f>(E28+H28)*23.5%</f>
        <v>0.4841</v>
      </c>
      <c r="W28" s="89">
        <f>D28*12*1490000</f>
        <v>79996908</v>
      </c>
      <c r="X28" s="95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</row>
    <row r="29" spans="1:25" s="108" customFormat="1" ht="21.75" customHeight="1">
      <c r="A29" s="121">
        <v>6</v>
      </c>
      <c r="B29" s="122" t="s">
        <v>265</v>
      </c>
      <c r="C29" s="123"/>
      <c r="D29" s="99">
        <f t="shared" si="8"/>
        <v>2.8899</v>
      </c>
      <c r="E29" s="124">
        <v>2.34</v>
      </c>
      <c r="F29" s="71">
        <f t="shared" si="9"/>
        <v>0</v>
      </c>
      <c r="G29" s="125"/>
      <c r="H29" s="126"/>
      <c r="I29" s="123"/>
      <c r="J29" s="7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6"/>
      <c r="V29" s="126">
        <f t="shared" si="10"/>
        <v>0.5498999999999999</v>
      </c>
      <c r="W29" s="89">
        <f>D29*12*1490000</f>
        <v>51671411.99999999</v>
      </c>
      <c r="X29" s="123"/>
      <c r="Y29" s="108">
        <f>W20+W29</f>
        <v>73201167</v>
      </c>
    </row>
    <row r="30" spans="1:24" s="51" customFormat="1" ht="12.75">
      <c r="A30" s="52">
        <v>3</v>
      </c>
      <c r="B30" s="53" t="s">
        <v>8</v>
      </c>
      <c r="C30" s="57">
        <v>6</v>
      </c>
      <c r="D30" s="57">
        <f>SUM(D31:D37)</f>
        <v>32.5944</v>
      </c>
      <c r="E30" s="57">
        <f>SUM(E31:E37)</f>
        <v>17.04</v>
      </c>
      <c r="F30" s="57">
        <f aca="true" t="shared" si="11" ref="F30:V30">SUM(F31:F37)</f>
        <v>11.549999999999999</v>
      </c>
      <c r="G30" s="57">
        <f t="shared" si="11"/>
        <v>4.2</v>
      </c>
      <c r="H30" s="57">
        <f t="shared" si="11"/>
        <v>0</v>
      </c>
      <c r="I30" s="57">
        <f t="shared" si="11"/>
        <v>0</v>
      </c>
      <c r="J30" s="57">
        <f t="shared" si="11"/>
        <v>7.35</v>
      </c>
      <c r="K30" s="57">
        <f t="shared" si="11"/>
        <v>0</v>
      </c>
      <c r="L30" s="57">
        <f t="shared" si="11"/>
        <v>0</v>
      </c>
      <c r="M30" s="57">
        <f t="shared" si="11"/>
        <v>0</v>
      </c>
      <c r="N30" s="57">
        <f t="shared" si="11"/>
        <v>0</v>
      </c>
      <c r="O30" s="57">
        <f t="shared" si="11"/>
        <v>0</v>
      </c>
      <c r="P30" s="57">
        <f t="shared" si="11"/>
        <v>0</v>
      </c>
      <c r="Q30" s="57">
        <f t="shared" si="11"/>
        <v>0</v>
      </c>
      <c r="R30" s="57">
        <f t="shared" si="11"/>
        <v>0</v>
      </c>
      <c r="S30" s="57">
        <f t="shared" si="11"/>
        <v>0</v>
      </c>
      <c r="T30" s="57">
        <f t="shared" si="11"/>
        <v>0</v>
      </c>
      <c r="U30" s="57">
        <f t="shared" si="11"/>
        <v>0</v>
      </c>
      <c r="V30" s="57">
        <f t="shared" si="11"/>
        <v>4.0043999999999995</v>
      </c>
      <c r="W30" s="109">
        <f>SUM(W31:W37)</f>
        <v>494268462</v>
      </c>
      <c r="X30" s="57"/>
    </row>
    <row r="31" spans="1:24" s="127" customFormat="1" ht="18.75" customHeight="1">
      <c r="A31" s="137">
        <v>1</v>
      </c>
      <c r="B31" s="138" t="s">
        <v>238</v>
      </c>
      <c r="C31" s="126"/>
      <c r="D31" s="102">
        <f>E31+F31+V31</f>
        <v>4.7599</v>
      </c>
      <c r="E31" s="102">
        <v>2.34</v>
      </c>
      <c r="F31" s="102">
        <f aca="true" t="shared" si="12" ref="F31:F37">SUM(G31:U31)</f>
        <v>1.8699999999999999</v>
      </c>
      <c r="G31" s="126">
        <v>0.7</v>
      </c>
      <c r="H31" s="126"/>
      <c r="I31" s="126"/>
      <c r="J31" s="102">
        <f aca="true" t="shared" si="13" ref="J31:J36">E31*50%</f>
        <v>1.17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02">
        <f aca="true" t="shared" si="14" ref="V31:V36">E31*23.5%</f>
        <v>0.5498999999999999</v>
      </c>
      <c r="W31" s="126">
        <f>D31*4*1490000</f>
        <v>28369004</v>
      </c>
      <c r="X31" s="126"/>
    </row>
    <row r="32" spans="1:29" s="48" customFormat="1" ht="18.75" customHeight="1">
      <c r="A32" s="100"/>
      <c r="B32" s="101" t="s">
        <v>238</v>
      </c>
      <c r="C32" s="75"/>
      <c r="D32" s="102">
        <f aca="true" t="shared" si="15" ref="D32:D37">E32+F32+V32</f>
        <v>5.33245</v>
      </c>
      <c r="E32" s="102">
        <v>2.67</v>
      </c>
      <c r="F32" s="102">
        <f t="shared" si="12"/>
        <v>2.035</v>
      </c>
      <c r="G32" s="102">
        <v>0.7</v>
      </c>
      <c r="H32" s="102"/>
      <c r="I32" s="102"/>
      <c r="J32" s="102">
        <f t="shared" si="13"/>
        <v>1.335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>
        <f t="shared" si="14"/>
        <v>0.62745</v>
      </c>
      <c r="W32" s="103">
        <f>D32*8*1490000</f>
        <v>63562804</v>
      </c>
      <c r="X32" s="102"/>
      <c r="Y32" s="594"/>
      <c r="Z32" s="595"/>
      <c r="AA32" s="595"/>
      <c r="AB32" s="595"/>
      <c r="AC32" s="595"/>
    </row>
    <row r="33" spans="1:24" s="48" customFormat="1" ht="18.75" customHeight="1">
      <c r="A33" s="137">
        <v>3</v>
      </c>
      <c r="B33" s="101" t="s">
        <v>156</v>
      </c>
      <c r="C33" s="104"/>
      <c r="D33" s="102">
        <f t="shared" si="15"/>
        <v>5.33245</v>
      </c>
      <c r="E33" s="102">
        <v>2.67</v>
      </c>
      <c r="F33" s="102">
        <f t="shared" si="12"/>
        <v>2.035</v>
      </c>
      <c r="G33" s="102">
        <v>0.7</v>
      </c>
      <c r="H33" s="105"/>
      <c r="I33" s="105"/>
      <c r="J33" s="102">
        <f t="shared" si="13"/>
        <v>1.335</v>
      </c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2">
        <f t="shared" si="14"/>
        <v>0.62745</v>
      </c>
      <c r="W33" s="103">
        <f>D33*12*1490000</f>
        <v>95344206</v>
      </c>
      <c r="X33" s="106"/>
    </row>
    <row r="34" spans="1:24" s="48" customFormat="1" ht="18.75" customHeight="1">
      <c r="A34" s="100">
        <v>4</v>
      </c>
      <c r="B34" s="101" t="s">
        <v>155</v>
      </c>
      <c r="C34" s="75"/>
      <c r="D34" s="102">
        <f t="shared" si="15"/>
        <v>4.7599</v>
      </c>
      <c r="E34" s="102">
        <v>2.34</v>
      </c>
      <c r="F34" s="102">
        <f t="shared" si="12"/>
        <v>1.8699999999999999</v>
      </c>
      <c r="G34" s="102">
        <v>0.7</v>
      </c>
      <c r="H34" s="75"/>
      <c r="I34" s="75"/>
      <c r="J34" s="102">
        <f t="shared" si="13"/>
        <v>1.17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02">
        <f t="shared" si="14"/>
        <v>0.5498999999999999</v>
      </c>
      <c r="W34" s="103">
        <f>D34*12*1490000</f>
        <v>85107012</v>
      </c>
      <c r="X34" s="106"/>
    </row>
    <row r="35" spans="1:24" s="48" customFormat="1" ht="18.75" customHeight="1">
      <c r="A35" s="137">
        <v>5</v>
      </c>
      <c r="B35" s="101" t="s">
        <v>154</v>
      </c>
      <c r="C35" s="75"/>
      <c r="D35" s="102">
        <f t="shared" si="15"/>
        <v>4.7599</v>
      </c>
      <c r="E35" s="102">
        <v>2.34</v>
      </c>
      <c r="F35" s="102">
        <f t="shared" si="12"/>
        <v>1.8699999999999999</v>
      </c>
      <c r="G35" s="102">
        <v>0.7</v>
      </c>
      <c r="H35" s="75"/>
      <c r="I35" s="75"/>
      <c r="J35" s="102">
        <f t="shared" si="13"/>
        <v>1.17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102">
        <f t="shared" si="14"/>
        <v>0.5498999999999999</v>
      </c>
      <c r="W35" s="103">
        <f>D35*12*1490000</f>
        <v>85107012</v>
      </c>
      <c r="X35" s="106"/>
    </row>
    <row r="36" spans="1:24" s="48" customFormat="1" ht="18.75" customHeight="1">
      <c r="A36" s="100">
        <v>6</v>
      </c>
      <c r="B36" s="107" t="s">
        <v>239</v>
      </c>
      <c r="C36" s="75"/>
      <c r="D36" s="102">
        <f t="shared" si="15"/>
        <v>4.7599</v>
      </c>
      <c r="E36" s="102">
        <v>2.34</v>
      </c>
      <c r="F36" s="102">
        <f t="shared" si="12"/>
        <v>1.8699999999999999</v>
      </c>
      <c r="G36" s="102">
        <v>0.7</v>
      </c>
      <c r="H36" s="75"/>
      <c r="I36" s="75"/>
      <c r="J36" s="102">
        <f t="shared" si="13"/>
        <v>1.17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02">
        <f t="shared" si="14"/>
        <v>0.5498999999999999</v>
      </c>
      <c r="W36" s="103">
        <f>D36*12*1490000</f>
        <v>85107012</v>
      </c>
      <c r="X36" s="106"/>
    </row>
    <row r="37" spans="1:24" s="48" customFormat="1" ht="18.75" customHeight="1">
      <c r="A37" s="137">
        <v>7</v>
      </c>
      <c r="B37" s="107" t="s">
        <v>240</v>
      </c>
      <c r="C37" s="75"/>
      <c r="D37" s="102">
        <f t="shared" si="15"/>
        <v>2.8899</v>
      </c>
      <c r="E37" s="75">
        <v>2.34</v>
      </c>
      <c r="F37" s="102">
        <f t="shared" si="12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102">
        <f>E37*23.5%</f>
        <v>0.5498999999999999</v>
      </c>
      <c r="W37" s="103">
        <f>D37*12*1490000</f>
        <v>51671411.99999999</v>
      </c>
      <c r="X37" s="106"/>
    </row>
    <row r="38" spans="1:24" s="51" customFormat="1" ht="30" customHeight="1">
      <c r="A38" s="52">
        <v>4</v>
      </c>
      <c r="B38" s="114" t="s">
        <v>150</v>
      </c>
      <c r="C38" s="54"/>
      <c r="D38" s="54">
        <f aca="true" t="shared" si="16" ref="D38:W38">D39+D56+D64+D71+D80+D91+D87</f>
        <v>329.167</v>
      </c>
      <c r="E38" s="54">
        <f t="shared" si="16"/>
        <v>151.12</v>
      </c>
      <c r="F38" s="54">
        <f t="shared" si="16"/>
        <v>142.245</v>
      </c>
      <c r="G38" s="54">
        <f t="shared" si="16"/>
        <v>25.199999999999996</v>
      </c>
      <c r="H38" s="54">
        <f t="shared" si="16"/>
        <v>8</v>
      </c>
      <c r="I38" s="54">
        <f t="shared" si="16"/>
        <v>0</v>
      </c>
      <c r="J38" s="54">
        <f t="shared" si="16"/>
        <v>70.2</v>
      </c>
      <c r="K38" s="54">
        <f t="shared" si="16"/>
        <v>0</v>
      </c>
      <c r="L38" s="54">
        <f t="shared" si="16"/>
        <v>0</v>
      </c>
      <c r="M38" s="54">
        <f t="shared" si="16"/>
        <v>0</v>
      </c>
      <c r="N38" s="54">
        <f t="shared" si="16"/>
        <v>35.1</v>
      </c>
      <c r="O38" s="54">
        <f t="shared" si="16"/>
        <v>0</v>
      </c>
      <c r="P38" s="54">
        <f t="shared" si="16"/>
        <v>1.5</v>
      </c>
      <c r="Q38" s="54">
        <f t="shared" si="16"/>
        <v>0.6</v>
      </c>
      <c r="R38" s="54">
        <f t="shared" si="16"/>
        <v>0</v>
      </c>
      <c r="S38" s="54">
        <f t="shared" si="16"/>
        <v>0</v>
      </c>
      <c r="T38" s="54">
        <f t="shared" si="16"/>
        <v>0.4850000000000001</v>
      </c>
      <c r="U38" s="54">
        <f t="shared" si="16"/>
        <v>1.16</v>
      </c>
      <c r="V38" s="54">
        <f t="shared" si="16"/>
        <v>35.802</v>
      </c>
      <c r="W38" s="54">
        <f t="shared" si="16"/>
        <v>5342252231.75</v>
      </c>
      <c r="X38" s="54"/>
    </row>
    <row r="39" spans="1:24" s="62" customFormat="1" ht="12.75">
      <c r="A39" s="55" t="s">
        <v>241</v>
      </c>
      <c r="B39" s="56" t="s">
        <v>148</v>
      </c>
      <c r="C39" s="57"/>
      <c r="D39" s="57">
        <f>D40</f>
        <v>85.7265</v>
      </c>
      <c r="E39" s="57">
        <f aca="true" t="shared" si="17" ref="E39:V39">E40</f>
        <v>36.739999999999995</v>
      </c>
      <c r="F39" s="57">
        <f t="shared" si="17"/>
        <v>39.82</v>
      </c>
      <c r="G39" s="57">
        <f t="shared" si="17"/>
        <v>6.300000000000001</v>
      </c>
      <c r="H39" s="57">
        <f t="shared" si="17"/>
        <v>4.000000000000001</v>
      </c>
      <c r="I39" s="57">
        <f t="shared" si="17"/>
        <v>0</v>
      </c>
      <c r="J39" s="57">
        <f t="shared" si="17"/>
        <v>19.2</v>
      </c>
      <c r="K39" s="57">
        <f t="shared" si="17"/>
        <v>0</v>
      </c>
      <c r="L39" s="57">
        <f t="shared" si="17"/>
        <v>0</v>
      </c>
      <c r="M39" s="57">
        <f t="shared" si="17"/>
        <v>0</v>
      </c>
      <c r="N39" s="57">
        <f t="shared" si="17"/>
        <v>9.6</v>
      </c>
      <c r="O39" s="57">
        <f t="shared" si="17"/>
        <v>0</v>
      </c>
      <c r="P39" s="57">
        <f t="shared" si="17"/>
        <v>0</v>
      </c>
      <c r="Q39" s="57">
        <f t="shared" si="17"/>
        <v>0</v>
      </c>
      <c r="R39" s="57">
        <f t="shared" si="17"/>
        <v>0</v>
      </c>
      <c r="S39" s="57">
        <f t="shared" si="17"/>
        <v>0</v>
      </c>
      <c r="T39" s="57">
        <f t="shared" si="17"/>
        <v>0</v>
      </c>
      <c r="U39" s="57">
        <f t="shared" si="17"/>
        <v>0.72</v>
      </c>
      <c r="V39" s="57">
        <f t="shared" si="17"/>
        <v>9.1665</v>
      </c>
      <c r="W39" s="87">
        <f>W40+W51</f>
        <v>1446095907</v>
      </c>
      <c r="X39" s="57"/>
    </row>
    <row r="40" spans="1:25" s="62" customFormat="1" ht="12.75">
      <c r="A40" s="55"/>
      <c r="B40" s="56" t="s">
        <v>73</v>
      </c>
      <c r="C40" s="57">
        <v>6</v>
      </c>
      <c r="D40" s="128">
        <f aca="true" t="shared" si="18" ref="D40:V40">SUM(D41:D50)</f>
        <v>85.7265</v>
      </c>
      <c r="E40" s="128">
        <f>SUM(E41:E50)</f>
        <v>36.739999999999995</v>
      </c>
      <c r="F40" s="128">
        <f t="shared" si="18"/>
        <v>39.82</v>
      </c>
      <c r="G40" s="128">
        <f t="shared" si="18"/>
        <v>6.300000000000001</v>
      </c>
      <c r="H40" s="128">
        <f t="shared" si="18"/>
        <v>4.000000000000001</v>
      </c>
      <c r="I40" s="128">
        <f t="shared" si="18"/>
        <v>0</v>
      </c>
      <c r="J40" s="128">
        <f t="shared" si="18"/>
        <v>19.2</v>
      </c>
      <c r="K40" s="128">
        <f t="shared" si="18"/>
        <v>0</v>
      </c>
      <c r="L40" s="128">
        <f t="shared" si="18"/>
        <v>0</v>
      </c>
      <c r="M40" s="128">
        <f t="shared" si="18"/>
        <v>0</v>
      </c>
      <c r="N40" s="128">
        <f t="shared" si="18"/>
        <v>9.6</v>
      </c>
      <c r="O40" s="128">
        <f t="shared" si="18"/>
        <v>0</v>
      </c>
      <c r="P40" s="128">
        <f t="shared" si="18"/>
        <v>0</v>
      </c>
      <c r="Q40" s="128">
        <f t="shared" si="18"/>
        <v>0</v>
      </c>
      <c r="R40" s="128">
        <f t="shared" si="18"/>
        <v>0</v>
      </c>
      <c r="S40" s="128">
        <f t="shared" si="18"/>
        <v>0</v>
      </c>
      <c r="T40" s="128">
        <f t="shared" si="18"/>
        <v>0</v>
      </c>
      <c r="U40" s="128">
        <f t="shared" si="18"/>
        <v>0.72</v>
      </c>
      <c r="V40" s="128">
        <f t="shared" si="18"/>
        <v>9.1665</v>
      </c>
      <c r="W40" s="128">
        <f>SUM(W41:W50)</f>
        <v>1123338267</v>
      </c>
      <c r="X40" s="57">
        <f>SUM(X41:X49)</f>
        <v>0</v>
      </c>
      <c r="Y40" s="129">
        <f>W40-'[1]sheet2'!$Y$266</f>
        <v>8873267</v>
      </c>
    </row>
    <row r="41" spans="1:24" s="63" customFormat="1" ht="19.5" customHeight="1">
      <c r="A41" s="60">
        <v>1</v>
      </c>
      <c r="B41" s="61" t="s">
        <v>41</v>
      </c>
      <c r="C41" s="58"/>
      <c r="D41" s="58">
        <f aca="true" t="shared" si="19" ref="D41:D50">E41+F41+V41</f>
        <v>12.1155</v>
      </c>
      <c r="E41" s="139">
        <v>5.08</v>
      </c>
      <c r="F41" s="58">
        <f aca="true" t="shared" si="20" ref="F41:F49">SUM(G41:U41)</f>
        <v>5.735</v>
      </c>
      <c r="G41" s="58">
        <v>0.7</v>
      </c>
      <c r="H41" s="58">
        <v>0.7</v>
      </c>
      <c r="I41" s="58"/>
      <c r="J41" s="58">
        <f aca="true" t="shared" si="21" ref="J41:J50">0.5*(E41+H41)</f>
        <v>2.89</v>
      </c>
      <c r="K41" s="58"/>
      <c r="L41" s="58"/>
      <c r="M41" s="58"/>
      <c r="N41" s="58">
        <f aca="true" t="shared" si="22" ref="N41:N50">0.25*(E41+H41)</f>
        <v>1.445</v>
      </c>
      <c r="O41" s="58"/>
      <c r="P41" s="58"/>
      <c r="Q41" s="58"/>
      <c r="R41" s="58"/>
      <c r="S41" s="58"/>
      <c r="T41" s="58"/>
      <c r="U41" s="58"/>
      <c r="V41" s="58">
        <f aca="true" t="shared" si="23" ref="V41:V50">(E41+H41)*22.5%</f>
        <v>1.3005</v>
      </c>
      <c r="W41" s="110">
        <f>(D41*1490000*5)+(D41+(E41+H41)*70%)*7*1490000</f>
        <v>258824920</v>
      </c>
      <c r="X41" s="58" t="s">
        <v>242</v>
      </c>
    </row>
    <row r="42" spans="1:25" s="63" customFormat="1" ht="19.5" customHeight="1">
      <c r="A42" s="60">
        <v>2</v>
      </c>
      <c r="B42" s="61" t="s">
        <v>33</v>
      </c>
      <c r="C42" s="58"/>
      <c r="D42" s="58">
        <f t="shared" si="19"/>
        <v>9.1135</v>
      </c>
      <c r="E42" s="58">
        <v>3.66</v>
      </c>
      <c r="F42" s="58">
        <f t="shared" si="20"/>
        <v>4.494999999999999</v>
      </c>
      <c r="G42" s="58">
        <v>0.7</v>
      </c>
      <c r="H42" s="58">
        <v>0.6</v>
      </c>
      <c r="I42" s="58"/>
      <c r="J42" s="58">
        <f t="shared" si="21"/>
        <v>2.13</v>
      </c>
      <c r="K42" s="58"/>
      <c r="L42" s="58"/>
      <c r="M42" s="58"/>
      <c r="N42" s="58">
        <f t="shared" si="22"/>
        <v>1.065</v>
      </c>
      <c r="O42" s="58"/>
      <c r="P42" s="58"/>
      <c r="Q42" s="58"/>
      <c r="R42" s="58"/>
      <c r="S42" s="58"/>
      <c r="T42" s="58"/>
      <c r="U42" s="58"/>
      <c r="V42" s="58">
        <f t="shared" si="23"/>
        <v>0.9585</v>
      </c>
      <c r="W42" s="110">
        <f>D42*1490000*3</f>
        <v>40737345</v>
      </c>
      <c r="X42" s="58" t="s">
        <v>243</v>
      </c>
      <c r="Y42" s="195">
        <f>'Lương đầu năm'!E44-'Chi tiết'!D42</f>
        <v>6.162000000000001</v>
      </c>
    </row>
    <row r="43" spans="1:25" s="63" customFormat="1" ht="19.5" customHeight="1">
      <c r="A43" s="60"/>
      <c r="B43" s="61" t="s">
        <v>33</v>
      </c>
      <c r="C43" s="58"/>
      <c r="D43" s="58">
        <f t="shared" si="19"/>
        <v>9.76525</v>
      </c>
      <c r="E43" s="139">
        <v>3.99</v>
      </c>
      <c r="F43" s="58">
        <f t="shared" si="20"/>
        <v>4.7425</v>
      </c>
      <c r="G43" s="58">
        <v>0.7</v>
      </c>
      <c r="H43" s="58">
        <v>0.6</v>
      </c>
      <c r="I43" s="58"/>
      <c r="J43" s="58">
        <f t="shared" si="21"/>
        <v>2.295</v>
      </c>
      <c r="K43" s="58"/>
      <c r="L43" s="58"/>
      <c r="M43" s="58"/>
      <c r="N43" s="58">
        <f t="shared" si="22"/>
        <v>1.1475</v>
      </c>
      <c r="O43" s="58"/>
      <c r="P43" s="58"/>
      <c r="Q43" s="58"/>
      <c r="R43" s="58"/>
      <c r="S43" s="58"/>
      <c r="T43" s="58"/>
      <c r="U43" s="58"/>
      <c r="V43" s="58">
        <f t="shared" si="23"/>
        <v>1.03275</v>
      </c>
      <c r="W43" s="110">
        <f>(D43*1490000*2)+(D43+0.5)*7*1490000</f>
        <v>136167002.5</v>
      </c>
      <c r="X43" s="58" t="s">
        <v>244</v>
      </c>
      <c r="Y43" s="63">
        <f>Y42/2</f>
        <v>3.0810000000000004</v>
      </c>
    </row>
    <row r="44" spans="1:25" s="63" customFormat="1" ht="19.5" customHeight="1">
      <c r="A44" s="60">
        <v>3</v>
      </c>
      <c r="B44" s="61" t="s">
        <v>147</v>
      </c>
      <c r="C44" s="58"/>
      <c r="D44" s="58">
        <f t="shared" si="19"/>
        <v>9.76525</v>
      </c>
      <c r="E44" s="58">
        <v>3.99</v>
      </c>
      <c r="F44" s="58">
        <f t="shared" si="20"/>
        <v>4.7425</v>
      </c>
      <c r="G44" s="58">
        <v>0.7</v>
      </c>
      <c r="H44" s="58">
        <v>0.6</v>
      </c>
      <c r="I44" s="58"/>
      <c r="J44" s="58">
        <f t="shared" si="21"/>
        <v>2.295</v>
      </c>
      <c r="K44" s="58"/>
      <c r="L44" s="58"/>
      <c r="M44" s="58"/>
      <c r="N44" s="58">
        <f t="shared" si="22"/>
        <v>1.1475</v>
      </c>
      <c r="O44" s="58"/>
      <c r="P44" s="58"/>
      <c r="Q44" s="58"/>
      <c r="R44" s="58"/>
      <c r="S44" s="58"/>
      <c r="T44" s="58"/>
      <c r="U44" s="58"/>
      <c r="V44" s="58">
        <f t="shared" si="23"/>
        <v>1.03275</v>
      </c>
      <c r="W44" s="110">
        <f>(D44*5*1490000)+(D44+0.5)*1490000*7</f>
        <v>179817670</v>
      </c>
      <c r="X44" s="58" t="s">
        <v>242</v>
      </c>
      <c r="Y44" s="63">
        <f>Y43*1490000*12</f>
        <v>55088280.000000015</v>
      </c>
    </row>
    <row r="45" spans="1:24" s="63" customFormat="1" ht="19.5" customHeight="1">
      <c r="A45" s="60">
        <v>4</v>
      </c>
      <c r="B45" s="61" t="s">
        <v>32</v>
      </c>
      <c r="C45" s="58"/>
      <c r="D45" s="58">
        <f t="shared" si="19"/>
        <v>10.854500000000002</v>
      </c>
      <c r="E45" s="58">
        <v>4.32</v>
      </c>
      <c r="F45" s="58">
        <f t="shared" si="20"/>
        <v>5.405</v>
      </c>
      <c r="G45" s="58">
        <v>0.7</v>
      </c>
      <c r="H45" s="58">
        <v>0.7</v>
      </c>
      <c r="I45" s="58"/>
      <c r="J45" s="58">
        <f t="shared" si="21"/>
        <v>2.5100000000000002</v>
      </c>
      <c r="K45" s="58"/>
      <c r="L45" s="58"/>
      <c r="M45" s="58"/>
      <c r="N45" s="58">
        <f t="shared" si="22"/>
        <v>1.2550000000000001</v>
      </c>
      <c r="O45" s="58"/>
      <c r="P45" s="58"/>
      <c r="Q45" s="58"/>
      <c r="R45" s="58"/>
      <c r="S45" s="58"/>
      <c r="T45" s="58"/>
      <c r="U45" s="58">
        <v>0.24</v>
      </c>
      <c r="V45" s="58">
        <f t="shared" si="23"/>
        <v>1.1295000000000002</v>
      </c>
      <c r="W45" s="110">
        <f>(D45*5*1490000)+(D45+(E45+H45)*70%)*1490000*7</f>
        <v>230729480</v>
      </c>
      <c r="X45" s="58" t="s">
        <v>242</v>
      </c>
    </row>
    <row r="46" spans="1:26" s="63" customFormat="1" ht="19.5" customHeight="1">
      <c r="A46" s="60">
        <v>5</v>
      </c>
      <c r="B46" s="61" t="s">
        <v>59</v>
      </c>
      <c r="C46" s="58"/>
      <c r="D46" s="58">
        <f t="shared" si="19"/>
        <v>7.319249999999999</v>
      </c>
      <c r="E46" s="58">
        <v>3.03</v>
      </c>
      <c r="F46" s="58">
        <f t="shared" si="20"/>
        <v>3.5625</v>
      </c>
      <c r="G46" s="58">
        <v>0.7</v>
      </c>
      <c r="H46" s="58">
        <v>0.2</v>
      </c>
      <c r="I46" s="58"/>
      <c r="J46" s="58">
        <f t="shared" si="21"/>
        <v>1.615</v>
      </c>
      <c r="K46" s="58"/>
      <c r="L46" s="58"/>
      <c r="M46" s="58"/>
      <c r="N46" s="58">
        <f t="shared" si="22"/>
        <v>0.8075</v>
      </c>
      <c r="O46" s="58"/>
      <c r="P46" s="58"/>
      <c r="Q46" s="58"/>
      <c r="R46" s="58"/>
      <c r="S46" s="58"/>
      <c r="T46" s="58"/>
      <c r="U46" s="58">
        <v>0.24</v>
      </c>
      <c r="V46" s="58">
        <f t="shared" si="23"/>
        <v>0.72675</v>
      </c>
      <c r="W46" s="110">
        <f>D46*1490000*3</f>
        <v>32717047.499999993</v>
      </c>
      <c r="X46" s="58" t="s">
        <v>243</v>
      </c>
      <c r="Y46" s="135">
        <f>W46+W47+W48</f>
        <v>102278517</v>
      </c>
      <c r="Z46" s="135">
        <f>W46+W47+W48</f>
        <v>102278517</v>
      </c>
    </row>
    <row r="47" spans="1:26" s="63" customFormat="1" ht="19.5" customHeight="1">
      <c r="A47" s="60"/>
      <c r="B47" s="61" t="s">
        <v>59</v>
      </c>
      <c r="C47" s="58"/>
      <c r="D47" s="58">
        <f t="shared" si="19"/>
        <v>7.9315</v>
      </c>
      <c r="E47" s="139">
        <v>3.34</v>
      </c>
      <c r="F47" s="58">
        <f t="shared" si="20"/>
        <v>3.795</v>
      </c>
      <c r="G47" s="58">
        <v>0.7</v>
      </c>
      <c r="H47" s="58">
        <v>0.2</v>
      </c>
      <c r="I47" s="58"/>
      <c r="J47" s="58">
        <f t="shared" si="21"/>
        <v>1.77</v>
      </c>
      <c r="K47" s="58"/>
      <c r="L47" s="58"/>
      <c r="M47" s="58"/>
      <c r="N47" s="58">
        <f t="shared" si="22"/>
        <v>0.885</v>
      </c>
      <c r="O47" s="58"/>
      <c r="P47" s="58"/>
      <c r="Q47" s="58"/>
      <c r="R47" s="58"/>
      <c r="S47" s="58"/>
      <c r="T47" s="58"/>
      <c r="U47" s="58">
        <v>0.24</v>
      </c>
      <c r="V47" s="58">
        <f t="shared" si="23"/>
        <v>0.7965</v>
      </c>
      <c r="W47" s="110">
        <f>(D47*1490000*2)+(D47+(D47+H47)*70%)*1*1490000</f>
        <v>43934959.5</v>
      </c>
      <c r="X47" s="58" t="s">
        <v>244</v>
      </c>
      <c r="Y47" s="135">
        <f>'[4]Chi tiết'!$W$46+'[4]Chi tiết'!$W$47+'[3]01'!$L$140</f>
        <v>142770682.5</v>
      </c>
      <c r="Z47" s="135">
        <f>198446544-Z46</f>
        <v>96168027</v>
      </c>
    </row>
    <row r="48" spans="1:25" s="63" customFormat="1" ht="19.5" customHeight="1">
      <c r="A48" s="60"/>
      <c r="B48" s="61" t="s">
        <v>142</v>
      </c>
      <c r="C48" s="58"/>
      <c r="D48" s="58">
        <f t="shared" si="19"/>
        <v>2.8665</v>
      </c>
      <c r="E48" s="139">
        <v>2.34</v>
      </c>
      <c r="F48" s="58">
        <f t="shared" si="20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>
        <f t="shared" si="23"/>
        <v>0.5265</v>
      </c>
      <c r="W48" s="110">
        <f>D48*1490000*6</f>
        <v>25626510</v>
      </c>
      <c r="X48" s="58"/>
      <c r="Y48" s="135">
        <f>Y47-Y46</f>
        <v>40492165.5</v>
      </c>
    </row>
    <row r="49" spans="1:24" s="63" customFormat="1" ht="19.5" customHeight="1">
      <c r="A49" s="60">
        <v>6</v>
      </c>
      <c r="B49" s="61" t="s">
        <v>54</v>
      </c>
      <c r="C49" s="58"/>
      <c r="D49" s="58">
        <f t="shared" si="19"/>
        <v>7.67175</v>
      </c>
      <c r="E49" s="58">
        <v>3.33</v>
      </c>
      <c r="F49" s="58">
        <f t="shared" si="20"/>
        <v>3.5475000000000003</v>
      </c>
      <c r="G49" s="58">
        <v>0.7</v>
      </c>
      <c r="H49" s="58">
        <v>0.2</v>
      </c>
      <c r="I49" s="58"/>
      <c r="J49" s="58">
        <f t="shared" si="21"/>
        <v>1.7650000000000001</v>
      </c>
      <c r="K49" s="58"/>
      <c r="L49" s="58"/>
      <c r="M49" s="58"/>
      <c r="N49" s="58">
        <f t="shared" si="22"/>
        <v>0.8825000000000001</v>
      </c>
      <c r="O49" s="58"/>
      <c r="P49" s="58"/>
      <c r="Q49" s="58"/>
      <c r="R49" s="58"/>
      <c r="S49" s="58"/>
      <c r="T49" s="58"/>
      <c r="U49" s="58"/>
      <c r="V49" s="58">
        <f t="shared" si="23"/>
        <v>0.7942500000000001</v>
      </c>
      <c r="W49" s="110">
        <f>D49*1490000*1</f>
        <v>11430907.5</v>
      </c>
      <c r="X49" s="58" t="s">
        <v>245</v>
      </c>
    </row>
    <row r="50" spans="1:25" s="63" customFormat="1" ht="19.5" customHeight="1">
      <c r="A50" s="60"/>
      <c r="B50" s="61" t="s">
        <v>54</v>
      </c>
      <c r="C50" s="58"/>
      <c r="D50" s="58">
        <f t="shared" si="19"/>
        <v>8.3235</v>
      </c>
      <c r="E50" s="139">
        <v>3.66</v>
      </c>
      <c r="F50" s="58">
        <f>SUM(G50:U50)</f>
        <v>3.795</v>
      </c>
      <c r="G50" s="58">
        <v>0.7</v>
      </c>
      <c r="H50" s="58">
        <v>0.2</v>
      </c>
      <c r="I50" s="58"/>
      <c r="J50" s="58">
        <f t="shared" si="21"/>
        <v>1.9300000000000002</v>
      </c>
      <c r="K50" s="58"/>
      <c r="L50" s="58"/>
      <c r="M50" s="58"/>
      <c r="N50" s="58">
        <f t="shared" si="22"/>
        <v>0.9650000000000001</v>
      </c>
      <c r="O50" s="58"/>
      <c r="P50" s="58"/>
      <c r="Q50" s="58"/>
      <c r="R50" s="58"/>
      <c r="S50" s="58"/>
      <c r="T50" s="58"/>
      <c r="U50" s="58"/>
      <c r="V50" s="58">
        <f t="shared" si="23"/>
        <v>0.8685</v>
      </c>
      <c r="W50" s="110">
        <f>(D50*1490000*11)+26930260</f>
        <v>163352424.99999997</v>
      </c>
      <c r="X50" s="58" t="s">
        <v>246</v>
      </c>
      <c r="Y50" s="479">
        <f>'[3]01'!$L$141+'[3]01'!$L$142</f>
        <v>26930259.999999996</v>
      </c>
    </row>
    <row r="51" spans="1:24" s="63" customFormat="1" ht="25.5">
      <c r="A51" s="60"/>
      <c r="B51" s="130" t="s">
        <v>269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131">
        <f>SUM(W52:W55)</f>
        <v>322757640</v>
      </c>
      <c r="X51" s="58"/>
    </row>
    <row r="52" spans="1:24" s="63" customFormat="1" ht="12.75">
      <c r="A52" s="60">
        <v>7</v>
      </c>
      <c r="B52" s="112" t="s">
        <v>270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110">
        <v>108186000</v>
      </c>
      <c r="X52" s="58" t="s">
        <v>242</v>
      </c>
    </row>
    <row r="53" spans="1:25" s="63" customFormat="1" ht="12.75">
      <c r="A53" s="60">
        <v>8</v>
      </c>
      <c r="B53" s="112" t="s">
        <v>271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110">
        <v>108186000</v>
      </c>
      <c r="X53" s="58" t="s">
        <v>242</v>
      </c>
      <c r="Y53" s="132">
        <f>W53/12</f>
        <v>9015500</v>
      </c>
    </row>
    <row r="54" spans="1:25" s="132" customFormat="1" ht="12.75">
      <c r="A54" s="88">
        <v>9</v>
      </c>
      <c r="B54" s="133" t="s">
        <v>272</v>
      </c>
      <c r="C54" s="134"/>
      <c r="D54" s="58"/>
      <c r="E54" s="134"/>
      <c r="F54" s="134"/>
      <c r="G54" s="134"/>
      <c r="H54" s="134"/>
      <c r="I54" s="134"/>
      <c r="J54" s="134"/>
      <c r="K54" s="134"/>
      <c r="L54" s="134"/>
      <c r="M54" s="134" t="s">
        <v>309</v>
      </c>
      <c r="N54" s="134"/>
      <c r="O54" s="134"/>
      <c r="P54" s="134"/>
      <c r="Q54" s="134"/>
      <c r="R54" s="134"/>
      <c r="S54" s="134"/>
      <c r="T54" s="134"/>
      <c r="U54" s="134"/>
      <c r="V54" s="134"/>
      <c r="W54" s="110">
        <v>65208000</v>
      </c>
      <c r="X54" s="58" t="s">
        <v>242</v>
      </c>
      <c r="Y54" s="132">
        <f>W54/12</f>
        <v>5434000</v>
      </c>
    </row>
    <row r="55" spans="1:24" s="63" customFormat="1" ht="15.75">
      <c r="A55" s="60"/>
      <c r="B55" s="6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02">
        <v>41177640</v>
      </c>
      <c r="X55" s="58" t="s">
        <v>316</v>
      </c>
    </row>
    <row r="56" spans="1:24" s="62" customFormat="1" ht="12.75">
      <c r="A56" s="144" t="s">
        <v>247</v>
      </c>
      <c r="B56" s="111" t="s">
        <v>248</v>
      </c>
      <c r="C56" s="145">
        <v>7</v>
      </c>
      <c r="D56" s="145">
        <f>SUM(D57:D63)</f>
        <v>46.22474999999999</v>
      </c>
      <c r="E56" s="145">
        <f>SUM(E57:E63)</f>
        <v>23.110000000000003</v>
      </c>
      <c r="F56" s="145">
        <f>SUM(F57:F63)</f>
        <v>17.8475</v>
      </c>
      <c r="G56" s="145">
        <f>SUM(G57:G63)</f>
        <v>3.5</v>
      </c>
      <c r="H56" s="145">
        <f aca="true" t="shared" si="24" ref="H56:V56">SUM(H57:H63)</f>
        <v>0.3</v>
      </c>
      <c r="I56" s="145">
        <f t="shared" si="24"/>
        <v>0</v>
      </c>
      <c r="J56" s="145">
        <f t="shared" si="24"/>
        <v>9.364999999999998</v>
      </c>
      <c r="K56" s="145">
        <f t="shared" si="24"/>
        <v>0</v>
      </c>
      <c r="L56" s="145">
        <f t="shared" si="24"/>
        <v>0</v>
      </c>
      <c r="M56" s="145">
        <f t="shared" si="24"/>
        <v>0</v>
      </c>
      <c r="N56" s="145">
        <f t="shared" si="24"/>
        <v>4.682499999999999</v>
      </c>
      <c r="O56" s="145">
        <f t="shared" si="24"/>
        <v>0</v>
      </c>
      <c r="P56" s="145">
        <f t="shared" si="24"/>
        <v>0</v>
      </c>
      <c r="Q56" s="145">
        <f t="shared" si="24"/>
        <v>0</v>
      </c>
      <c r="R56" s="145">
        <f t="shared" si="24"/>
        <v>0</v>
      </c>
      <c r="S56" s="145">
        <f t="shared" si="24"/>
        <v>0</v>
      </c>
      <c r="T56" s="145">
        <f t="shared" si="24"/>
        <v>0</v>
      </c>
      <c r="U56" s="145">
        <f t="shared" si="24"/>
        <v>0</v>
      </c>
      <c r="V56" s="145">
        <f t="shared" si="24"/>
        <v>5.267250000000001</v>
      </c>
      <c r="W56" s="146">
        <f>SUM(W57:W63)</f>
        <v>760613710</v>
      </c>
      <c r="X56" s="145"/>
    </row>
    <row r="57" spans="1:75" ht="15">
      <c r="A57" s="147">
        <v>1</v>
      </c>
      <c r="B57" s="148" t="s">
        <v>29</v>
      </c>
      <c r="C57" s="149"/>
      <c r="D57" s="149">
        <f aca="true" t="shared" si="25" ref="D57:D63">E57+F57+V57</f>
        <v>13.339999999999998</v>
      </c>
      <c r="E57" s="150">
        <v>6.1</v>
      </c>
      <c r="F57" s="59">
        <f aca="true" t="shared" si="26" ref="F57:F63">SUM(G57:U57)</f>
        <v>5.799999999999999</v>
      </c>
      <c r="G57" s="149">
        <v>0.7</v>
      </c>
      <c r="H57" s="149">
        <v>0.3</v>
      </c>
      <c r="I57" s="149"/>
      <c r="J57" s="149">
        <f>(E57+H57)*50%</f>
        <v>3.1999999999999997</v>
      </c>
      <c r="K57" s="149"/>
      <c r="L57" s="149"/>
      <c r="M57" s="149"/>
      <c r="N57" s="149">
        <f>(E57+H57)*25%</f>
        <v>1.5999999999999999</v>
      </c>
      <c r="O57" s="150"/>
      <c r="P57" s="149"/>
      <c r="Q57" s="149"/>
      <c r="R57" s="149"/>
      <c r="S57" s="151"/>
      <c r="T57" s="149"/>
      <c r="U57" s="149"/>
      <c r="V57" s="149">
        <f aca="true" t="shared" si="27" ref="V57:V62">(E57+H57)*22.5%</f>
        <v>1.44</v>
      </c>
      <c r="W57" s="152">
        <f>D57*1490000*12</f>
        <v>238519199.99999994</v>
      </c>
      <c r="X57" s="149"/>
      <c r="Y57" s="4"/>
      <c r="Z57" s="4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ht="15">
      <c r="A58" s="147">
        <v>2</v>
      </c>
      <c r="B58" s="148" t="s">
        <v>137</v>
      </c>
      <c r="C58" s="149"/>
      <c r="D58" s="149">
        <f t="shared" si="25"/>
        <v>6.625</v>
      </c>
      <c r="E58" s="150">
        <v>3</v>
      </c>
      <c r="F58" s="59">
        <f t="shared" si="26"/>
        <v>2.95</v>
      </c>
      <c r="G58" s="149">
        <v>0.7</v>
      </c>
      <c r="H58" s="149"/>
      <c r="I58" s="149"/>
      <c r="J58" s="149">
        <f>(E58+H58)*50%</f>
        <v>1.5</v>
      </c>
      <c r="K58" s="149"/>
      <c r="L58" s="149"/>
      <c r="M58" s="149"/>
      <c r="N58" s="149">
        <f>(E58+H58)*25%</f>
        <v>0.75</v>
      </c>
      <c r="O58" s="150"/>
      <c r="P58" s="149"/>
      <c r="Q58" s="149"/>
      <c r="R58" s="149"/>
      <c r="S58" s="151"/>
      <c r="T58" s="149"/>
      <c r="U58" s="149"/>
      <c r="V58" s="149">
        <f t="shared" si="27"/>
        <v>0.675</v>
      </c>
      <c r="W58" s="152">
        <f>D58*1490000*12</f>
        <v>118455000</v>
      </c>
      <c r="X58" s="149"/>
      <c r="Y58" s="4"/>
      <c r="Z58" s="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ht="15">
      <c r="A59" s="147">
        <v>3</v>
      </c>
      <c r="B59" s="148" t="s">
        <v>135</v>
      </c>
      <c r="C59" s="149"/>
      <c r="D59" s="149">
        <f t="shared" si="25"/>
        <v>5.3215</v>
      </c>
      <c r="E59" s="150">
        <v>2.34</v>
      </c>
      <c r="F59" s="59">
        <f t="shared" si="26"/>
        <v>2.455</v>
      </c>
      <c r="G59" s="149">
        <v>0.7</v>
      </c>
      <c r="H59" s="149"/>
      <c r="I59" s="149"/>
      <c r="J59" s="149">
        <f>(E59+H59)*50%</f>
        <v>1.17</v>
      </c>
      <c r="K59" s="149"/>
      <c r="L59" s="149"/>
      <c r="M59" s="149"/>
      <c r="N59" s="149">
        <f>(E59+H59)*25%</f>
        <v>0.585</v>
      </c>
      <c r="O59" s="150"/>
      <c r="P59" s="149"/>
      <c r="Q59" s="149"/>
      <c r="R59" s="149"/>
      <c r="S59" s="151"/>
      <c r="T59" s="149"/>
      <c r="U59" s="149"/>
      <c r="V59" s="149">
        <f t="shared" si="27"/>
        <v>0.5265</v>
      </c>
      <c r="W59" s="152">
        <f>D59*1490000*8</f>
        <v>63432280.00000001</v>
      </c>
      <c r="X59" s="149"/>
      <c r="Y59" s="4"/>
      <c r="Z59" s="4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ht="15">
      <c r="A60" s="147"/>
      <c r="B60" s="153" t="s">
        <v>273</v>
      </c>
      <c r="C60" s="154"/>
      <c r="D60" s="149">
        <f t="shared" si="25"/>
        <v>2.8665</v>
      </c>
      <c r="E60" s="155">
        <v>2.34</v>
      </c>
      <c r="F60" s="59">
        <f t="shared" si="26"/>
        <v>0</v>
      </c>
      <c r="G60" s="149"/>
      <c r="H60" s="154"/>
      <c r="I60" s="154"/>
      <c r="J60" s="149"/>
      <c r="K60" s="154"/>
      <c r="L60" s="154"/>
      <c r="M60" s="154"/>
      <c r="N60" s="149"/>
      <c r="O60" s="155"/>
      <c r="P60" s="154"/>
      <c r="Q60" s="154"/>
      <c r="R60" s="154"/>
      <c r="S60" s="156"/>
      <c r="T60" s="154"/>
      <c r="U60" s="154"/>
      <c r="V60" s="149">
        <f>(E60+H60)*22.5%</f>
        <v>0.5265</v>
      </c>
      <c r="W60" s="152">
        <f>D60*1490000*4</f>
        <v>17084340</v>
      </c>
      <c r="X60" s="154"/>
      <c r="Y60" s="140"/>
      <c r="Z60" s="14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24" s="63" customFormat="1" ht="12.75">
      <c r="A61" s="147">
        <v>4</v>
      </c>
      <c r="B61" s="64" t="s">
        <v>249</v>
      </c>
      <c r="C61" s="59"/>
      <c r="D61" s="149">
        <f t="shared" si="25"/>
        <v>6.625</v>
      </c>
      <c r="E61" s="59">
        <v>3</v>
      </c>
      <c r="F61" s="59">
        <f t="shared" si="26"/>
        <v>2.95</v>
      </c>
      <c r="G61" s="149">
        <v>0.7</v>
      </c>
      <c r="H61" s="59"/>
      <c r="I61" s="59"/>
      <c r="J61" s="149">
        <f>(E61+H61)*50%</f>
        <v>1.5</v>
      </c>
      <c r="K61" s="59"/>
      <c r="L61" s="59"/>
      <c r="M61" s="59"/>
      <c r="N61" s="149">
        <f>(E61+H61)*25%</f>
        <v>0.75</v>
      </c>
      <c r="O61" s="59"/>
      <c r="P61" s="59"/>
      <c r="Q61" s="59"/>
      <c r="R61" s="59"/>
      <c r="S61" s="59"/>
      <c r="T61" s="59"/>
      <c r="U61" s="59"/>
      <c r="V61" s="149">
        <f t="shared" si="27"/>
        <v>0.675</v>
      </c>
      <c r="W61" s="152">
        <f>D61*1490000*12</f>
        <v>118455000</v>
      </c>
      <c r="X61" s="59"/>
    </row>
    <row r="62" spans="1:24" s="63" customFormat="1" ht="12.75">
      <c r="A62" s="147">
        <v>5</v>
      </c>
      <c r="B62" s="64" t="s">
        <v>104</v>
      </c>
      <c r="C62" s="59"/>
      <c r="D62" s="149">
        <f t="shared" si="25"/>
        <v>8.580250000000001</v>
      </c>
      <c r="E62" s="59">
        <v>3.99</v>
      </c>
      <c r="F62" s="59">
        <f t="shared" si="26"/>
        <v>3.6925000000000003</v>
      </c>
      <c r="G62" s="149">
        <v>0.7</v>
      </c>
      <c r="H62" s="59"/>
      <c r="I62" s="59"/>
      <c r="J62" s="149">
        <f>(E62+H62)*50%</f>
        <v>1.995</v>
      </c>
      <c r="K62" s="59"/>
      <c r="L62" s="59"/>
      <c r="M62" s="59"/>
      <c r="N62" s="149">
        <f>(E62+H62)*25%</f>
        <v>0.9975</v>
      </c>
      <c r="O62" s="59"/>
      <c r="P62" s="59"/>
      <c r="Q62" s="59"/>
      <c r="R62" s="59"/>
      <c r="S62" s="59"/>
      <c r="T62" s="59"/>
      <c r="U62" s="59"/>
      <c r="V62" s="149">
        <f t="shared" si="27"/>
        <v>0.89775</v>
      </c>
      <c r="W62" s="152">
        <f>D62*1490000*12</f>
        <v>153414870.00000003</v>
      </c>
      <c r="X62" s="59"/>
    </row>
    <row r="63" spans="1:24" s="63" customFormat="1" ht="12.75">
      <c r="A63" s="147">
        <v>6</v>
      </c>
      <c r="B63" s="64" t="s">
        <v>275</v>
      </c>
      <c r="C63" s="59"/>
      <c r="D63" s="149">
        <f t="shared" si="25"/>
        <v>2.8665</v>
      </c>
      <c r="E63" s="59">
        <f>2.34</f>
        <v>2.34</v>
      </c>
      <c r="F63" s="59">
        <f t="shared" si="26"/>
        <v>0</v>
      </c>
      <c r="G63" s="149"/>
      <c r="H63" s="59"/>
      <c r="I63" s="59"/>
      <c r="J63" s="14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149">
        <f>(E63+H63)*22.5%</f>
        <v>0.5265</v>
      </c>
      <c r="W63" s="152">
        <f>D63*1490000*12</f>
        <v>51253020</v>
      </c>
      <c r="X63" s="59"/>
    </row>
    <row r="64" spans="1:24" s="62" customFormat="1" ht="12.75">
      <c r="A64" s="157" t="s">
        <v>250</v>
      </c>
      <c r="B64" s="111" t="s">
        <v>251</v>
      </c>
      <c r="C64" s="145"/>
      <c r="D64" s="158">
        <f aca="true" t="shared" si="28" ref="D64:W64">SUM(D65:D70)</f>
        <v>50.345749999999995</v>
      </c>
      <c r="E64" s="158">
        <f t="shared" si="28"/>
        <v>23.97</v>
      </c>
      <c r="F64" s="158">
        <f t="shared" si="28"/>
        <v>20.7575</v>
      </c>
      <c r="G64" s="158">
        <f t="shared" si="28"/>
        <v>3.5</v>
      </c>
      <c r="H64" s="158">
        <f t="shared" si="28"/>
        <v>1</v>
      </c>
      <c r="I64" s="158">
        <f t="shared" si="28"/>
        <v>0</v>
      </c>
      <c r="J64" s="158">
        <f t="shared" si="28"/>
        <v>10.145</v>
      </c>
      <c r="K64" s="158">
        <f t="shared" si="28"/>
        <v>0</v>
      </c>
      <c r="L64" s="158">
        <f t="shared" si="28"/>
        <v>0</v>
      </c>
      <c r="M64" s="158">
        <f t="shared" si="28"/>
        <v>0</v>
      </c>
      <c r="N64" s="158">
        <f t="shared" si="28"/>
        <v>5.0725</v>
      </c>
      <c r="O64" s="158">
        <f t="shared" si="28"/>
        <v>0</v>
      </c>
      <c r="P64" s="158">
        <f t="shared" si="28"/>
        <v>0</v>
      </c>
      <c r="Q64" s="158">
        <f t="shared" si="28"/>
        <v>0.6</v>
      </c>
      <c r="R64" s="158">
        <f t="shared" si="28"/>
        <v>0</v>
      </c>
      <c r="S64" s="158">
        <f t="shared" si="28"/>
        <v>0</v>
      </c>
      <c r="T64" s="158">
        <f t="shared" si="28"/>
        <v>0</v>
      </c>
      <c r="U64" s="158">
        <f t="shared" si="28"/>
        <v>0.44</v>
      </c>
      <c r="V64" s="158">
        <f t="shared" si="28"/>
        <v>5.61825</v>
      </c>
      <c r="W64" s="158">
        <f t="shared" si="28"/>
        <v>725827425</v>
      </c>
      <c r="X64" s="145"/>
    </row>
    <row r="65" spans="1:24" s="62" customFormat="1" ht="16.5">
      <c r="A65" s="159">
        <v>1</v>
      </c>
      <c r="B65" s="160" t="s">
        <v>21</v>
      </c>
      <c r="C65" s="145"/>
      <c r="D65" s="161">
        <f aca="true" t="shared" si="29" ref="D65:D70">E65+F65+V65</f>
        <v>9.692749999999998</v>
      </c>
      <c r="E65" s="162">
        <v>3.99</v>
      </c>
      <c r="F65" s="161">
        <f aca="true" t="shared" si="30" ref="F65:F70">SUM(G65:U65)</f>
        <v>4.7375</v>
      </c>
      <c r="G65" s="162">
        <v>0.7</v>
      </c>
      <c r="H65" s="162">
        <v>0.3</v>
      </c>
      <c r="I65" s="162"/>
      <c r="J65" s="161">
        <f>(E65+H65)*50%</f>
        <v>2.145</v>
      </c>
      <c r="K65" s="162"/>
      <c r="L65" s="162"/>
      <c r="M65" s="162"/>
      <c r="N65" s="161">
        <f>(E65+H65)*25%</f>
        <v>1.0725</v>
      </c>
      <c r="O65" s="162"/>
      <c r="P65" s="162"/>
      <c r="Q65" s="162">
        <v>0.3</v>
      </c>
      <c r="R65" s="162"/>
      <c r="S65" s="162"/>
      <c r="T65" s="162"/>
      <c r="U65" s="162">
        <v>0.22</v>
      </c>
      <c r="V65" s="161">
        <f aca="true" t="shared" si="31" ref="V65:V70">(E65+H65)*22.5%</f>
        <v>0.96525</v>
      </c>
      <c r="W65" s="163">
        <f>D65*1490000*2</f>
        <v>28884394.999999996</v>
      </c>
      <c r="X65" s="145"/>
    </row>
    <row r="66" spans="1:24" s="143" customFormat="1" ht="16.5">
      <c r="A66" s="164"/>
      <c r="B66" s="160" t="s">
        <v>21</v>
      </c>
      <c r="C66" s="165"/>
      <c r="D66" s="161">
        <f t="shared" si="29"/>
        <v>10.0445</v>
      </c>
      <c r="E66" s="161">
        <v>4.32</v>
      </c>
      <c r="F66" s="161">
        <f t="shared" si="30"/>
        <v>4.685</v>
      </c>
      <c r="G66" s="161">
        <v>0.7</v>
      </c>
      <c r="H66" s="161">
        <v>0.3</v>
      </c>
      <c r="I66" s="161"/>
      <c r="J66" s="161">
        <f>(E66+H66)*50%</f>
        <v>2.31</v>
      </c>
      <c r="K66" s="161"/>
      <c r="L66" s="161"/>
      <c r="M66" s="161"/>
      <c r="N66" s="161">
        <f>(E66+H66)*25%</f>
        <v>1.155</v>
      </c>
      <c r="O66" s="161"/>
      <c r="P66" s="161"/>
      <c r="Q66" s="161"/>
      <c r="R66" s="161"/>
      <c r="S66" s="161"/>
      <c r="T66" s="161"/>
      <c r="U66" s="161">
        <v>0.22</v>
      </c>
      <c r="V66" s="161">
        <f t="shared" si="31"/>
        <v>1.0395</v>
      </c>
      <c r="W66" s="163">
        <f>D66*1490000*10</f>
        <v>149663049.99999997</v>
      </c>
      <c r="X66" s="166"/>
    </row>
    <row r="67" spans="1:24" s="143" customFormat="1" ht="16.5">
      <c r="A67" s="164">
        <v>2</v>
      </c>
      <c r="B67" s="160" t="s">
        <v>143</v>
      </c>
      <c r="C67" s="165"/>
      <c r="D67" s="161">
        <f t="shared" si="29"/>
        <v>9.927</v>
      </c>
      <c r="E67" s="161">
        <v>4.32</v>
      </c>
      <c r="F67" s="161">
        <f t="shared" si="30"/>
        <v>4.59</v>
      </c>
      <c r="G67" s="161">
        <v>0.7</v>
      </c>
      <c r="H67" s="161">
        <v>0.2</v>
      </c>
      <c r="I67" s="161"/>
      <c r="J67" s="161">
        <f>(E67+H67)*50%</f>
        <v>2.2600000000000002</v>
      </c>
      <c r="K67" s="161"/>
      <c r="L67" s="161"/>
      <c r="M67" s="161"/>
      <c r="N67" s="161">
        <f>(E67+H67)*25%</f>
        <v>1.1300000000000001</v>
      </c>
      <c r="O67" s="161"/>
      <c r="P67" s="161"/>
      <c r="Q67" s="161">
        <v>0.3</v>
      </c>
      <c r="R67" s="161"/>
      <c r="S67" s="161"/>
      <c r="T67" s="161"/>
      <c r="U67" s="161"/>
      <c r="V67" s="161">
        <f t="shared" si="31"/>
        <v>1.0170000000000001</v>
      </c>
      <c r="W67" s="163">
        <f>D67*1490000*12</f>
        <v>177494760</v>
      </c>
      <c r="X67" s="167"/>
    </row>
    <row r="68" spans="1:24" s="143" customFormat="1" ht="16.5">
      <c r="A68" s="164">
        <v>3</v>
      </c>
      <c r="B68" s="168" t="s">
        <v>144</v>
      </c>
      <c r="C68" s="165"/>
      <c r="D68" s="161">
        <f t="shared" si="29"/>
        <v>8.97525</v>
      </c>
      <c r="E68" s="161">
        <v>3.99</v>
      </c>
      <c r="F68" s="161">
        <f t="shared" si="30"/>
        <v>4.0425</v>
      </c>
      <c r="G68" s="161">
        <v>0.7</v>
      </c>
      <c r="H68" s="161">
        <v>0.2</v>
      </c>
      <c r="I68" s="161"/>
      <c r="J68" s="161">
        <f>(E68+H68)*50%</f>
        <v>2.095</v>
      </c>
      <c r="K68" s="161"/>
      <c r="L68" s="161"/>
      <c r="M68" s="161"/>
      <c r="N68" s="161">
        <f>(E68+H68)*25%</f>
        <v>1.0475</v>
      </c>
      <c r="O68" s="161"/>
      <c r="P68" s="161"/>
      <c r="Q68" s="161"/>
      <c r="R68" s="161"/>
      <c r="S68" s="161"/>
      <c r="T68" s="161"/>
      <c r="U68" s="161"/>
      <c r="V68" s="161">
        <f t="shared" si="31"/>
        <v>0.9427500000000001</v>
      </c>
      <c r="W68" s="163">
        <f>D68*1490000*12</f>
        <v>160477470.00000003</v>
      </c>
      <c r="X68" s="166"/>
    </row>
    <row r="69" spans="1:24" s="143" customFormat="1" ht="16.5">
      <c r="A69" s="169">
        <v>4</v>
      </c>
      <c r="B69" s="170" t="s">
        <v>141</v>
      </c>
      <c r="C69" s="171"/>
      <c r="D69" s="161">
        <f t="shared" si="29"/>
        <v>5.97325</v>
      </c>
      <c r="E69" s="172">
        <v>2.67</v>
      </c>
      <c r="F69" s="172">
        <f t="shared" si="30"/>
        <v>2.7025</v>
      </c>
      <c r="G69" s="172">
        <v>0.7</v>
      </c>
      <c r="H69" s="172"/>
      <c r="I69" s="172"/>
      <c r="J69" s="172">
        <f>(E69+H69)*50%</f>
        <v>1.335</v>
      </c>
      <c r="K69" s="172"/>
      <c r="L69" s="172"/>
      <c r="M69" s="172"/>
      <c r="N69" s="172">
        <f>(E69+H69)*25%</f>
        <v>0.6675</v>
      </c>
      <c r="O69" s="172"/>
      <c r="P69" s="172"/>
      <c r="Q69" s="172"/>
      <c r="R69" s="172"/>
      <c r="S69" s="172"/>
      <c r="T69" s="172"/>
      <c r="U69" s="172"/>
      <c r="V69" s="172">
        <f t="shared" si="31"/>
        <v>0.60075</v>
      </c>
      <c r="W69" s="173">
        <f>D69*1490000*12</f>
        <v>106801710</v>
      </c>
      <c r="X69" s="174"/>
    </row>
    <row r="70" spans="1:24" s="143" customFormat="1" ht="16.5">
      <c r="A70" s="175">
        <v>6</v>
      </c>
      <c r="B70" s="176" t="s">
        <v>308</v>
      </c>
      <c r="C70" s="177"/>
      <c r="D70" s="161">
        <f t="shared" si="29"/>
        <v>5.733</v>
      </c>
      <c r="E70" s="178">
        <f>2.34*2</f>
        <v>4.68</v>
      </c>
      <c r="F70" s="172">
        <f t="shared" si="30"/>
        <v>0</v>
      </c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>
        <f t="shared" si="31"/>
        <v>1.053</v>
      </c>
      <c r="W70" s="173">
        <f>D70*1490000*12</f>
        <v>102506040</v>
      </c>
      <c r="X70" s="179"/>
    </row>
    <row r="71" spans="1:24" s="62" customFormat="1" ht="12.75">
      <c r="A71" s="144" t="s">
        <v>252</v>
      </c>
      <c r="B71" s="111" t="s">
        <v>253</v>
      </c>
      <c r="C71" s="145"/>
      <c r="D71" s="145">
        <f>SUM(D73:D77)</f>
        <v>45.618</v>
      </c>
      <c r="E71" s="145">
        <f aca="true" t="shared" si="32" ref="E71:V71">SUM(E73:E77)</f>
        <v>20.28</v>
      </c>
      <c r="F71" s="145">
        <f t="shared" si="32"/>
        <v>20.595000000000002</v>
      </c>
      <c r="G71" s="145">
        <f t="shared" si="32"/>
        <v>3.5</v>
      </c>
      <c r="H71" s="145">
        <f t="shared" si="32"/>
        <v>0.8</v>
      </c>
      <c r="I71" s="145">
        <f t="shared" si="32"/>
        <v>0</v>
      </c>
      <c r="J71" s="145">
        <f t="shared" si="32"/>
        <v>10.540000000000001</v>
      </c>
      <c r="K71" s="145">
        <f t="shared" si="32"/>
        <v>0</v>
      </c>
      <c r="L71" s="145">
        <f t="shared" si="32"/>
        <v>0</v>
      </c>
      <c r="M71" s="145">
        <f t="shared" si="32"/>
        <v>0</v>
      </c>
      <c r="N71" s="145">
        <f t="shared" si="32"/>
        <v>5.2700000000000005</v>
      </c>
      <c r="O71" s="145">
        <f t="shared" si="32"/>
        <v>0</v>
      </c>
      <c r="P71" s="145">
        <f t="shared" si="32"/>
        <v>0</v>
      </c>
      <c r="Q71" s="145">
        <f t="shared" si="32"/>
        <v>0</v>
      </c>
      <c r="R71" s="145">
        <f t="shared" si="32"/>
        <v>0</v>
      </c>
      <c r="S71" s="145">
        <f t="shared" si="32"/>
        <v>0</v>
      </c>
      <c r="T71" s="145">
        <f t="shared" si="32"/>
        <v>0.4850000000000001</v>
      </c>
      <c r="U71" s="145">
        <f t="shared" si="32"/>
        <v>0</v>
      </c>
      <c r="V71" s="145">
        <f t="shared" si="32"/>
        <v>4.743</v>
      </c>
      <c r="W71" s="146">
        <f>SUM(W73:W79)</f>
        <v>855408929.75</v>
      </c>
      <c r="X71" s="145"/>
    </row>
    <row r="72" spans="1:25" s="62" customFormat="1" ht="22.5" customHeight="1">
      <c r="A72" s="144"/>
      <c r="B72" s="180" t="s">
        <v>73</v>
      </c>
      <c r="C72" s="145">
        <v>6</v>
      </c>
      <c r="D72" s="145">
        <f>SUM(D73:D77)</f>
        <v>45.618</v>
      </c>
      <c r="E72" s="145">
        <f aca="true" t="shared" si="33" ref="E72:U72">SUM(E73:E77)</f>
        <v>20.28</v>
      </c>
      <c r="F72" s="145">
        <f t="shared" si="33"/>
        <v>20.595000000000002</v>
      </c>
      <c r="G72" s="145">
        <f t="shared" si="33"/>
        <v>3.5</v>
      </c>
      <c r="H72" s="145">
        <f t="shared" si="33"/>
        <v>0.8</v>
      </c>
      <c r="I72" s="145">
        <f t="shared" si="33"/>
        <v>0</v>
      </c>
      <c r="J72" s="145">
        <f t="shared" si="33"/>
        <v>10.540000000000001</v>
      </c>
      <c r="K72" s="145">
        <f t="shared" si="33"/>
        <v>0</v>
      </c>
      <c r="L72" s="145">
        <f t="shared" si="33"/>
        <v>0</v>
      </c>
      <c r="M72" s="145">
        <f t="shared" si="33"/>
        <v>0</v>
      </c>
      <c r="N72" s="145">
        <f t="shared" si="33"/>
        <v>5.2700000000000005</v>
      </c>
      <c r="O72" s="145">
        <f t="shared" si="33"/>
        <v>0</v>
      </c>
      <c r="P72" s="145">
        <f t="shared" si="33"/>
        <v>0</v>
      </c>
      <c r="Q72" s="145">
        <f t="shared" si="33"/>
        <v>0</v>
      </c>
      <c r="R72" s="145">
        <f t="shared" si="33"/>
        <v>0</v>
      </c>
      <c r="S72" s="145">
        <f t="shared" si="33"/>
        <v>0</v>
      </c>
      <c r="T72" s="145">
        <f t="shared" si="33"/>
        <v>0.4850000000000001</v>
      </c>
      <c r="U72" s="145">
        <f t="shared" si="33"/>
        <v>0</v>
      </c>
      <c r="V72" s="145">
        <f>SUM(V73:V77)</f>
        <v>4.743</v>
      </c>
      <c r="W72" s="145">
        <f>SUM(W73:W79)</f>
        <v>855408929.75</v>
      </c>
      <c r="X72" s="145"/>
      <c r="Y72" s="499">
        <f>W72-'[2]Phòng Nông nghiệp'!$I$8</f>
        <v>-21239624.25</v>
      </c>
    </row>
    <row r="73" spans="1:25" s="63" customFormat="1" ht="22.5" customHeight="1">
      <c r="A73" s="181">
        <v>1</v>
      </c>
      <c r="B73" s="182" t="s">
        <v>254</v>
      </c>
      <c r="C73" s="59"/>
      <c r="D73" s="59">
        <f aca="true" t="shared" si="34" ref="D73:D78">E73+F73+V73</f>
        <v>8.521</v>
      </c>
      <c r="E73" s="59">
        <v>3.66</v>
      </c>
      <c r="F73" s="59">
        <f aca="true" t="shared" si="35" ref="F73:F78">SUM(G73:U73)</f>
        <v>3.9699999999999998</v>
      </c>
      <c r="G73" s="59">
        <v>0.7</v>
      </c>
      <c r="H73" s="59">
        <v>0.3</v>
      </c>
      <c r="I73" s="59"/>
      <c r="J73" s="59">
        <f aca="true" t="shared" si="36" ref="J73:J78">0.5*(E73+H73)</f>
        <v>1.98</v>
      </c>
      <c r="K73" s="59"/>
      <c r="L73" s="59"/>
      <c r="M73" s="59"/>
      <c r="N73" s="59">
        <f aca="true" t="shared" si="37" ref="N73:N78">0.25*(E73+H73)</f>
        <v>0.99</v>
      </c>
      <c r="O73" s="59"/>
      <c r="P73" s="59"/>
      <c r="Q73" s="59"/>
      <c r="R73" s="59"/>
      <c r="S73" s="59"/>
      <c r="T73" s="59"/>
      <c r="U73" s="59"/>
      <c r="V73" s="59">
        <f aca="true" t="shared" si="38" ref="V73:V78">(E73+H73)*22.5%</f>
        <v>0.891</v>
      </c>
      <c r="W73" s="183">
        <f>D73*1490000*2</f>
        <v>25392580.000000004</v>
      </c>
      <c r="X73" s="59" t="s">
        <v>255</v>
      </c>
      <c r="Y73" s="496">
        <f>25709950+X78</f>
        <v>64547242.75</v>
      </c>
    </row>
    <row r="74" spans="1:25" s="63" customFormat="1" ht="22.5" customHeight="1">
      <c r="A74" s="181" t="s">
        <v>312</v>
      </c>
      <c r="B74" s="182" t="s">
        <v>23</v>
      </c>
      <c r="C74" s="59"/>
      <c r="D74" s="59">
        <f t="shared" si="34"/>
        <v>10.47625</v>
      </c>
      <c r="E74" s="59">
        <v>4.65</v>
      </c>
      <c r="F74" s="59">
        <f t="shared" si="35"/>
        <v>4.7125</v>
      </c>
      <c r="G74" s="59">
        <v>0.7</v>
      </c>
      <c r="H74" s="59">
        <v>0.3</v>
      </c>
      <c r="I74" s="59"/>
      <c r="J74" s="59">
        <f t="shared" si="36"/>
        <v>2.475</v>
      </c>
      <c r="K74" s="59"/>
      <c r="L74" s="59"/>
      <c r="M74" s="59"/>
      <c r="N74" s="59">
        <f t="shared" si="37"/>
        <v>1.2375</v>
      </c>
      <c r="O74" s="59"/>
      <c r="P74" s="59"/>
      <c r="Q74" s="59"/>
      <c r="R74" s="59"/>
      <c r="S74" s="59"/>
      <c r="T74" s="59"/>
      <c r="U74" s="59"/>
      <c r="V74" s="59">
        <f t="shared" si="38"/>
        <v>1.11375</v>
      </c>
      <c r="W74" s="183">
        <f>(D74*2*1490000)+(D74+(E74+H74)*70%)*1490000*7</f>
        <v>176626462.5</v>
      </c>
      <c r="X74" s="59" t="s">
        <v>244</v>
      </c>
      <c r="Y74" s="135"/>
    </row>
    <row r="75" spans="1:24" s="63" customFormat="1" ht="22.5" customHeight="1">
      <c r="A75" s="181">
        <v>2</v>
      </c>
      <c r="B75" s="182" t="s">
        <v>132</v>
      </c>
      <c r="C75" s="59"/>
      <c r="D75" s="59">
        <f t="shared" si="34"/>
        <v>10.763750000000002</v>
      </c>
      <c r="E75" s="59">
        <v>4.65</v>
      </c>
      <c r="F75" s="59">
        <f t="shared" si="35"/>
        <v>5.022500000000001</v>
      </c>
      <c r="G75" s="59">
        <v>0.7</v>
      </c>
      <c r="H75" s="59">
        <v>0.2</v>
      </c>
      <c r="I75" s="59"/>
      <c r="J75" s="59">
        <f t="shared" si="36"/>
        <v>2.4250000000000003</v>
      </c>
      <c r="K75" s="59"/>
      <c r="L75" s="59"/>
      <c r="M75" s="59"/>
      <c r="N75" s="59">
        <f t="shared" si="37"/>
        <v>1.2125000000000001</v>
      </c>
      <c r="O75" s="59"/>
      <c r="P75" s="59"/>
      <c r="Q75" s="59"/>
      <c r="R75" s="59"/>
      <c r="S75" s="59"/>
      <c r="T75" s="184">
        <f>(E75+H75)*10%</f>
        <v>0.4850000000000001</v>
      </c>
      <c r="U75" s="59"/>
      <c r="V75" s="59">
        <f t="shared" si="38"/>
        <v>1.09125</v>
      </c>
      <c r="W75" s="183">
        <f>(D75*5*1490000)+(D75+(E75+H75)*70%)*1490000*7</f>
        <v>227865700.00000006</v>
      </c>
      <c r="X75" s="59"/>
    </row>
    <row r="76" spans="1:24" s="63" customFormat="1" ht="22.5" customHeight="1">
      <c r="A76" s="181">
        <v>3</v>
      </c>
      <c r="B76" s="185" t="s">
        <v>130</v>
      </c>
      <c r="C76" s="59"/>
      <c r="D76" s="59">
        <f t="shared" si="34"/>
        <v>6.625</v>
      </c>
      <c r="E76" s="59">
        <v>3</v>
      </c>
      <c r="F76" s="59">
        <f t="shared" si="35"/>
        <v>2.95</v>
      </c>
      <c r="G76" s="59">
        <v>0.7</v>
      </c>
      <c r="H76" s="59"/>
      <c r="I76" s="59"/>
      <c r="J76" s="59">
        <f t="shared" si="36"/>
        <v>1.5</v>
      </c>
      <c r="K76" s="59"/>
      <c r="L76" s="59"/>
      <c r="M76" s="59"/>
      <c r="N76" s="59">
        <f t="shared" si="37"/>
        <v>0.75</v>
      </c>
      <c r="O76" s="59"/>
      <c r="P76" s="59"/>
      <c r="Q76" s="59"/>
      <c r="R76" s="59"/>
      <c r="S76" s="59"/>
      <c r="T76" s="59"/>
      <c r="U76" s="59"/>
      <c r="V76" s="59">
        <f t="shared" si="38"/>
        <v>0.675</v>
      </c>
      <c r="W76" s="183">
        <f>(D76*5*1490000)+(D76+(E76+H76)*70%)*1490000*7</f>
        <v>140358000</v>
      </c>
      <c r="X76" s="59"/>
    </row>
    <row r="77" spans="1:24" s="63" customFormat="1" ht="22.5" customHeight="1">
      <c r="A77" s="181">
        <v>4</v>
      </c>
      <c r="B77" s="64" t="s">
        <v>274</v>
      </c>
      <c r="C77" s="59"/>
      <c r="D77" s="59">
        <f t="shared" si="34"/>
        <v>9.232000000000001</v>
      </c>
      <c r="E77" s="59">
        <v>4.32</v>
      </c>
      <c r="F77" s="59">
        <f t="shared" si="35"/>
        <v>3.9400000000000004</v>
      </c>
      <c r="G77" s="59">
        <v>0.7</v>
      </c>
      <c r="H77" s="59"/>
      <c r="I77" s="59"/>
      <c r="J77" s="59">
        <f t="shared" si="36"/>
        <v>2.16</v>
      </c>
      <c r="K77" s="59"/>
      <c r="L77" s="59"/>
      <c r="M77" s="59"/>
      <c r="N77" s="59">
        <f t="shared" si="37"/>
        <v>1.08</v>
      </c>
      <c r="O77" s="59"/>
      <c r="P77" s="59"/>
      <c r="Q77" s="59"/>
      <c r="R77" s="59"/>
      <c r="S77" s="59"/>
      <c r="T77" s="59"/>
      <c r="U77" s="59"/>
      <c r="V77" s="59">
        <f t="shared" si="38"/>
        <v>0.9720000000000001</v>
      </c>
      <c r="W77" s="183">
        <f>(D77*5*1490000)+(D77+(E77+H77)*70%)*1490000*7</f>
        <v>196608480</v>
      </c>
      <c r="X77" s="59"/>
    </row>
    <row r="78" spans="1:24" s="63" customFormat="1" ht="22.5" customHeight="1">
      <c r="A78" s="181">
        <v>5</v>
      </c>
      <c r="B78" s="498" t="s">
        <v>315</v>
      </c>
      <c r="C78" s="59"/>
      <c r="D78" s="59">
        <f t="shared" si="34"/>
        <v>7.125</v>
      </c>
      <c r="E78" s="59">
        <v>3</v>
      </c>
      <c r="F78" s="59">
        <f t="shared" si="35"/>
        <v>3.45</v>
      </c>
      <c r="G78" s="59">
        <v>0.7</v>
      </c>
      <c r="H78" s="59"/>
      <c r="I78" s="59"/>
      <c r="J78" s="59">
        <f t="shared" si="36"/>
        <v>1.5</v>
      </c>
      <c r="K78" s="59"/>
      <c r="L78" s="59"/>
      <c r="M78" s="59"/>
      <c r="N78" s="59">
        <f t="shared" si="37"/>
        <v>0.75</v>
      </c>
      <c r="O78" s="59"/>
      <c r="P78" s="59">
        <v>0.5</v>
      </c>
      <c r="Q78" s="59"/>
      <c r="R78" s="59"/>
      <c r="S78" s="59"/>
      <c r="T78" s="59"/>
      <c r="U78" s="59"/>
      <c r="V78" s="59">
        <f t="shared" si="38"/>
        <v>0.675</v>
      </c>
      <c r="W78" s="183">
        <f>D78*6*1490000</f>
        <v>63697500</v>
      </c>
      <c r="X78" s="59">
        <f>W78-W79</f>
        <v>38837292.75</v>
      </c>
    </row>
    <row r="79" spans="1:26" s="63" customFormat="1" ht="22.5" customHeight="1">
      <c r="A79" s="181">
        <v>6</v>
      </c>
      <c r="B79" s="498" t="s">
        <v>70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01">
        <f>(198881658/8)*1</f>
        <v>24860207.25</v>
      </c>
      <c r="X79" s="59"/>
      <c r="Y79" s="500">
        <f>W79*2</f>
        <v>49720414.5</v>
      </c>
      <c r="Z79" s="479">
        <f>Y79/2</f>
        <v>24860207.25</v>
      </c>
    </row>
    <row r="80" spans="1:24" s="62" customFormat="1" ht="12.75">
      <c r="A80" s="144" t="s">
        <v>256</v>
      </c>
      <c r="B80" s="111" t="s">
        <v>257</v>
      </c>
      <c r="C80" s="145"/>
      <c r="D80" s="145">
        <f>SUM(D81:D84)</f>
        <v>23.729</v>
      </c>
      <c r="E80" s="145">
        <f aca="true" t="shared" si="39" ref="E80:V80">SUM(E81:E84)</f>
        <v>11.64</v>
      </c>
      <c r="F80" s="145">
        <f t="shared" si="39"/>
        <v>9.425</v>
      </c>
      <c r="G80" s="145">
        <f t="shared" si="39"/>
        <v>2.0999999999999996</v>
      </c>
      <c r="H80" s="145">
        <f t="shared" si="39"/>
        <v>0.2</v>
      </c>
      <c r="I80" s="145">
        <f t="shared" si="39"/>
        <v>0</v>
      </c>
      <c r="J80" s="145">
        <f t="shared" si="39"/>
        <v>4.75</v>
      </c>
      <c r="K80" s="145">
        <f t="shared" si="39"/>
        <v>0</v>
      </c>
      <c r="L80" s="145">
        <f t="shared" si="39"/>
        <v>0</v>
      </c>
      <c r="M80" s="145">
        <f t="shared" si="39"/>
        <v>0</v>
      </c>
      <c r="N80" s="145">
        <f t="shared" si="39"/>
        <v>2.375</v>
      </c>
      <c r="O80" s="145">
        <f t="shared" si="39"/>
        <v>0</v>
      </c>
      <c r="P80" s="145">
        <f t="shared" si="39"/>
        <v>0</v>
      </c>
      <c r="Q80" s="145">
        <f t="shared" si="39"/>
        <v>0</v>
      </c>
      <c r="R80" s="145">
        <f t="shared" si="39"/>
        <v>0</v>
      </c>
      <c r="S80" s="145">
        <f t="shared" si="39"/>
        <v>0</v>
      </c>
      <c r="T80" s="145">
        <f t="shared" si="39"/>
        <v>0</v>
      </c>
      <c r="U80" s="145">
        <f t="shared" si="39"/>
        <v>0</v>
      </c>
      <c r="V80" s="145">
        <f t="shared" si="39"/>
        <v>2.664</v>
      </c>
      <c r="W80" s="145">
        <f>SUM(W81:W86)</f>
        <v>651579980</v>
      </c>
      <c r="X80" s="145"/>
    </row>
    <row r="81" spans="1:24" s="63" customFormat="1" ht="12.75">
      <c r="A81" s="181">
        <v>1</v>
      </c>
      <c r="B81" s="182" t="s">
        <v>55</v>
      </c>
      <c r="C81" s="59"/>
      <c r="D81" s="59">
        <f aca="true" t="shared" si="40" ref="D81:D86">E81+F81+V81</f>
        <v>8.916</v>
      </c>
      <c r="E81" s="59">
        <v>3.96</v>
      </c>
      <c r="F81" s="59">
        <f>SUM(G81:U81)</f>
        <v>4.02</v>
      </c>
      <c r="G81" s="59">
        <v>0.7</v>
      </c>
      <c r="H81" s="59">
        <v>0.2</v>
      </c>
      <c r="I81" s="59"/>
      <c r="J81" s="59">
        <f>0.5*(E81+H81)</f>
        <v>2.08</v>
      </c>
      <c r="K81" s="59"/>
      <c r="L81" s="59"/>
      <c r="M81" s="59"/>
      <c r="N81" s="59">
        <f>0.25*(E81+H81)</f>
        <v>1.04</v>
      </c>
      <c r="O81" s="59"/>
      <c r="P81" s="59"/>
      <c r="Q81" s="59"/>
      <c r="R81" s="59"/>
      <c r="S81" s="59"/>
      <c r="T81" s="59"/>
      <c r="U81" s="59"/>
      <c r="V81" s="59">
        <f aca="true" t="shared" si="41" ref="V81:V86">(E81+H81)*22.5%</f>
        <v>0.936</v>
      </c>
      <c r="W81" s="186">
        <f>(D81*1490000*5)+(D81+0.5)*1490000*7</f>
        <v>164633080</v>
      </c>
      <c r="X81" s="59"/>
    </row>
    <row r="82" spans="1:24" s="63" customFormat="1" ht="12.75">
      <c r="A82" s="181">
        <v>2</v>
      </c>
      <c r="B82" s="182" t="s">
        <v>118</v>
      </c>
      <c r="C82" s="59"/>
      <c r="D82" s="59">
        <f t="shared" si="40"/>
        <v>6.625</v>
      </c>
      <c r="E82" s="59">
        <v>3</v>
      </c>
      <c r="F82" s="59">
        <f>SUM(G82:U82)</f>
        <v>2.95</v>
      </c>
      <c r="G82" s="59">
        <v>0.7</v>
      </c>
      <c r="H82" s="59"/>
      <c r="I82" s="59"/>
      <c r="J82" s="59">
        <f>0.5*(E82+H82)</f>
        <v>1.5</v>
      </c>
      <c r="K82" s="59"/>
      <c r="L82" s="59"/>
      <c r="M82" s="59"/>
      <c r="N82" s="59">
        <f>0.25*(E82+H82)</f>
        <v>0.75</v>
      </c>
      <c r="O82" s="59"/>
      <c r="P82" s="59"/>
      <c r="Q82" s="59"/>
      <c r="R82" s="59"/>
      <c r="S82" s="59"/>
      <c r="T82" s="59"/>
      <c r="U82" s="59"/>
      <c r="V82" s="59">
        <f t="shared" si="41"/>
        <v>0.675</v>
      </c>
      <c r="W82" s="186">
        <f>(D82*1490000*5)+(D82+E82*70%)*1490000*7</f>
        <v>140358000</v>
      </c>
      <c r="X82" s="59"/>
    </row>
    <row r="83" spans="1:24" s="63" customFormat="1" ht="12.75">
      <c r="A83" s="181">
        <v>3</v>
      </c>
      <c r="B83" s="113" t="s">
        <v>117</v>
      </c>
      <c r="C83" s="59"/>
      <c r="D83" s="59">
        <f t="shared" si="40"/>
        <v>5.3215</v>
      </c>
      <c r="E83" s="59">
        <v>2.34</v>
      </c>
      <c r="F83" s="59">
        <f>SUM(G83:U83)</f>
        <v>2.455</v>
      </c>
      <c r="G83" s="59">
        <v>0.7</v>
      </c>
      <c r="H83" s="59"/>
      <c r="I83" s="59"/>
      <c r="J83" s="59">
        <f>0.5*(E83+H83)</f>
        <v>1.17</v>
      </c>
      <c r="K83" s="59"/>
      <c r="L83" s="59"/>
      <c r="M83" s="59"/>
      <c r="N83" s="59">
        <f>0.25*(E83+H83)</f>
        <v>0.585</v>
      </c>
      <c r="O83" s="59"/>
      <c r="P83" s="59"/>
      <c r="Q83" s="59"/>
      <c r="R83" s="59"/>
      <c r="S83" s="59"/>
      <c r="T83" s="59"/>
      <c r="U83" s="59"/>
      <c r="V83" s="59">
        <f t="shared" si="41"/>
        <v>0.5265</v>
      </c>
      <c r="W83" s="186">
        <f>(D83*1490000*5)+(D83+E83*70%)*1490000*7</f>
        <v>112232760</v>
      </c>
      <c r="X83" s="59"/>
    </row>
    <row r="84" spans="1:24" s="63" customFormat="1" ht="12.75">
      <c r="A84" s="181">
        <v>4</v>
      </c>
      <c r="B84" s="113" t="s">
        <v>258</v>
      </c>
      <c r="C84" s="59"/>
      <c r="D84" s="59">
        <f t="shared" si="40"/>
        <v>2.8665</v>
      </c>
      <c r="E84" s="59">
        <v>2.34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>
        <f t="shared" si="41"/>
        <v>0.5265</v>
      </c>
      <c r="W84" s="186">
        <f>D84*1490000*12</f>
        <v>51253020</v>
      </c>
      <c r="X84" s="59"/>
    </row>
    <row r="85" spans="1:24" s="63" customFormat="1" ht="21.75" customHeight="1">
      <c r="A85" s="181">
        <v>5</v>
      </c>
      <c r="B85" s="113" t="s">
        <v>124</v>
      </c>
      <c r="C85" s="59"/>
      <c r="D85" s="59">
        <f t="shared" si="40"/>
        <v>10.626999999999999</v>
      </c>
      <c r="E85" s="116">
        <f>4.32</f>
        <v>4.32</v>
      </c>
      <c r="F85" s="190">
        <f>SUM(G85:U85)</f>
        <v>5.29</v>
      </c>
      <c r="G85" s="116">
        <v>0.7</v>
      </c>
      <c r="H85" s="116">
        <v>0.2</v>
      </c>
      <c r="I85" s="189"/>
      <c r="J85" s="117">
        <f>(E85+H85)*0.5</f>
        <v>2.2600000000000002</v>
      </c>
      <c r="K85" s="189"/>
      <c r="L85" s="189"/>
      <c r="M85" s="189"/>
      <c r="N85" s="118">
        <f>0.25*(E85+H85)</f>
        <v>1.1300000000000001</v>
      </c>
      <c r="O85" s="189"/>
      <c r="P85" s="189">
        <v>1</v>
      </c>
      <c r="Q85" s="189"/>
      <c r="R85" s="189"/>
      <c r="S85" s="189"/>
      <c r="T85" s="189"/>
      <c r="U85" s="189"/>
      <c r="V85" s="190">
        <f t="shared" si="41"/>
        <v>1.0170000000000001</v>
      </c>
      <c r="W85" s="119">
        <f>D85*6*1490000+1490000</f>
        <v>96495379.99999999</v>
      </c>
      <c r="X85" s="59"/>
    </row>
    <row r="86" spans="1:24" s="63" customFormat="1" ht="25.5" customHeight="1">
      <c r="A86" s="181">
        <v>6</v>
      </c>
      <c r="B86" s="113" t="s">
        <v>108</v>
      </c>
      <c r="C86" s="59"/>
      <c r="D86" s="59">
        <f t="shared" si="40"/>
        <v>9.520999999999999</v>
      </c>
      <c r="E86" s="58">
        <v>3.66</v>
      </c>
      <c r="F86" s="190">
        <f>SUM(G86:U86)</f>
        <v>4.97</v>
      </c>
      <c r="G86" s="58">
        <v>0.7</v>
      </c>
      <c r="H86" s="58">
        <v>0.3</v>
      </c>
      <c r="I86" s="58"/>
      <c r="J86" s="58">
        <f>(E86+H86)*50%</f>
        <v>1.98</v>
      </c>
      <c r="K86" s="58"/>
      <c r="L86" s="58"/>
      <c r="M86" s="58"/>
      <c r="N86" s="58">
        <f>(E86+H86)*0.25</f>
        <v>0.99</v>
      </c>
      <c r="O86" s="58"/>
      <c r="P86" s="58">
        <v>1</v>
      </c>
      <c r="Q86" s="58"/>
      <c r="R86" s="58"/>
      <c r="S86" s="58"/>
      <c r="T86" s="58"/>
      <c r="U86" s="58"/>
      <c r="V86" s="58">
        <f t="shared" si="41"/>
        <v>0.891</v>
      </c>
      <c r="W86" s="119">
        <f>D86*6*1490000+1490000</f>
        <v>86607739.99999999</v>
      </c>
      <c r="X86" s="59"/>
    </row>
    <row r="87" spans="1:24" s="62" customFormat="1" ht="12.75">
      <c r="A87" s="144" t="s">
        <v>259</v>
      </c>
      <c r="B87" s="111" t="s">
        <v>260</v>
      </c>
      <c r="C87" s="145"/>
      <c r="D87" s="145">
        <f>SUM(D88:D90)</f>
        <v>15.8005</v>
      </c>
      <c r="E87" s="145">
        <f aca="true" t="shared" si="42" ref="E87:W87">SUM(E88:E90)</f>
        <v>7.68</v>
      </c>
      <c r="F87" s="145">
        <f t="shared" si="42"/>
        <v>6.28</v>
      </c>
      <c r="G87" s="145">
        <f t="shared" si="42"/>
        <v>1.4</v>
      </c>
      <c r="H87" s="145">
        <f t="shared" si="42"/>
        <v>0.5</v>
      </c>
      <c r="I87" s="145">
        <f t="shared" si="42"/>
        <v>0</v>
      </c>
      <c r="J87" s="145">
        <f t="shared" si="42"/>
        <v>2.92</v>
      </c>
      <c r="K87" s="145">
        <f t="shared" si="42"/>
        <v>0</v>
      </c>
      <c r="L87" s="145">
        <f t="shared" si="42"/>
        <v>0</v>
      </c>
      <c r="M87" s="145">
        <f t="shared" si="42"/>
        <v>0</v>
      </c>
      <c r="N87" s="145">
        <f t="shared" si="42"/>
        <v>1.46</v>
      </c>
      <c r="O87" s="145">
        <f t="shared" si="42"/>
        <v>0</v>
      </c>
      <c r="P87" s="145">
        <f t="shared" si="42"/>
        <v>0</v>
      </c>
      <c r="Q87" s="145">
        <f t="shared" si="42"/>
        <v>0</v>
      </c>
      <c r="R87" s="145">
        <f t="shared" si="42"/>
        <v>0</v>
      </c>
      <c r="S87" s="145">
        <f t="shared" si="42"/>
        <v>0</v>
      </c>
      <c r="T87" s="145">
        <f t="shared" si="42"/>
        <v>0</v>
      </c>
      <c r="U87" s="145">
        <f t="shared" si="42"/>
        <v>0</v>
      </c>
      <c r="V87" s="145">
        <f t="shared" si="42"/>
        <v>1.8405</v>
      </c>
      <c r="W87" s="145">
        <f t="shared" si="42"/>
        <v>168060080</v>
      </c>
      <c r="X87" s="145"/>
    </row>
    <row r="88" spans="1:24" s="63" customFormat="1" ht="12.75">
      <c r="A88" s="181">
        <v>1</v>
      </c>
      <c r="B88" s="187" t="s">
        <v>114</v>
      </c>
      <c r="C88" s="59"/>
      <c r="D88" s="59">
        <f>E88+F88+V88</f>
        <v>6.36825</v>
      </c>
      <c r="E88" s="59">
        <v>2.67</v>
      </c>
      <c r="F88" s="59">
        <f>SUM(G88:U88)</f>
        <v>3.0525</v>
      </c>
      <c r="G88" s="59">
        <v>0.7</v>
      </c>
      <c r="H88" s="59">
        <v>0.2</v>
      </c>
      <c r="I88" s="59"/>
      <c r="J88" s="59">
        <f>0.5*(E88+H88)</f>
        <v>1.435</v>
      </c>
      <c r="K88" s="59"/>
      <c r="L88" s="59"/>
      <c r="M88" s="59"/>
      <c r="N88" s="59">
        <f>0.25*(E88+H88)</f>
        <v>0.7175</v>
      </c>
      <c r="O88" s="59"/>
      <c r="P88" s="59"/>
      <c r="Q88" s="59"/>
      <c r="R88" s="59"/>
      <c r="S88" s="59"/>
      <c r="T88" s="59"/>
      <c r="U88" s="59"/>
      <c r="V88" s="59">
        <f>(E88+H88)*22.5%</f>
        <v>0.64575</v>
      </c>
      <c r="W88" s="183">
        <f>D88*1490000*2</f>
        <v>18977385</v>
      </c>
      <c r="X88" s="59" t="s">
        <v>255</v>
      </c>
    </row>
    <row r="89" spans="1:24" s="63" customFormat="1" ht="12.75">
      <c r="A89" s="181"/>
      <c r="B89" s="187" t="s">
        <v>114</v>
      </c>
      <c r="C89" s="59"/>
      <c r="D89" s="59">
        <f>E89+F89+V89</f>
        <v>6.5657499999999995</v>
      </c>
      <c r="E89" s="59">
        <v>2.67</v>
      </c>
      <c r="F89" s="59">
        <f>SUM(G89:U89)</f>
        <v>3.2275</v>
      </c>
      <c r="G89" s="59">
        <v>0.7</v>
      </c>
      <c r="H89" s="59">
        <v>0.3</v>
      </c>
      <c r="I89" s="59"/>
      <c r="J89" s="59">
        <f>0.5*(E89+H89)</f>
        <v>1.4849999999999999</v>
      </c>
      <c r="K89" s="59"/>
      <c r="L89" s="59"/>
      <c r="M89" s="59"/>
      <c r="N89" s="59">
        <f>0.25*(E89+H89)</f>
        <v>0.7424999999999999</v>
      </c>
      <c r="O89" s="59"/>
      <c r="P89" s="59"/>
      <c r="Q89" s="59"/>
      <c r="R89" s="59"/>
      <c r="S89" s="59"/>
      <c r="T89" s="59"/>
      <c r="U89" s="59"/>
      <c r="V89" s="59">
        <f>(E89+H89)*22.5%</f>
        <v>0.66825</v>
      </c>
      <c r="W89" s="183">
        <f>D89*1490000*10</f>
        <v>97829675</v>
      </c>
      <c r="X89" s="59" t="s">
        <v>261</v>
      </c>
    </row>
    <row r="90" spans="1:24" s="63" customFormat="1" ht="12.75">
      <c r="A90" s="181">
        <v>2</v>
      </c>
      <c r="B90" s="64" t="s">
        <v>275</v>
      </c>
      <c r="C90" s="59"/>
      <c r="D90" s="59">
        <f>E90+F90+V90</f>
        <v>2.8665</v>
      </c>
      <c r="E90" s="59">
        <v>2.34</v>
      </c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>
        <f>(E90+H90)*22.5%</f>
        <v>0.5265</v>
      </c>
      <c r="W90" s="183">
        <f>D90*1490000*12</f>
        <v>51253020</v>
      </c>
      <c r="X90" s="59" t="s">
        <v>255</v>
      </c>
    </row>
    <row r="91" spans="1:24" s="62" customFormat="1" ht="12.75">
      <c r="A91" s="144" t="s">
        <v>262</v>
      </c>
      <c r="B91" s="111" t="s">
        <v>263</v>
      </c>
      <c r="C91" s="145"/>
      <c r="D91" s="145">
        <f aca="true" t="shared" si="43" ref="D91:V91">SUM(D92:D99)</f>
        <v>61.722500000000004</v>
      </c>
      <c r="E91" s="145">
        <f t="shared" si="43"/>
        <v>27.700000000000003</v>
      </c>
      <c r="F91" s="145">
        <f t="shared" si="43"/>
        <v>27.52</v>
      </c>
      <c r="G91" s="145">
        <f t="shared" si="43"/>
        <v>4.9</v>
      </c>
      <c r="H91" s="145">
        <f t="shared" si="43"/>
        <v>1.2</v>
      </c>
      <c r="I91" s="145">
        <f t="shared" si="43"/>
        <v>0</v>
      </c>
      <c r="J91" s="145">
        <f t="shared" si="43"/>
        <v>13.280000000000001</v>
      </c>
      <c r="K91" s="145">
        <f t="shared" si="43"/>
        <v>0</v>
      </c>
      <c r="L91" s="145">
        <f t="shared" si="43"/>
        <v>0</v>
      </c>
      <c r="M91" s="145">
        <f t="shared" si="43"/>
        <v>0</v>
      </c>
      <c r="N91" s="145">
        <f t="shared" si="43"/>
        <v>6.640000000000001</v>
      </c>
      <c r="O91" s="145">
        <f t="shared" si="43"/>
        <v>0</v>
      </c>
      <c r="P91" s="145">
        <f t="shared" si="43"/>
        <v>1.5</v>
      </c>
      <c r="Q91" s="145">
        <f t="shared" si="43"/>
        <v>0</v>
      </c>
      <c r="R91" s="145">
        <f t="shared" si="43"/>
        <v>0</v>
      </c>
      <c r="S91" s="145">
        <f t="shared" si="43"/>
        <v>0</v>
      </c>
      <c r="T91" s="145">
        <f t="shared" si="43"/>
        <v>0</v>
      </c>
      <c r="U91" s="145">
        <f t="shared" si="43"/>
        <v>0</v>
      </c>
      <c r="V91" s="145">
        <f t="shared" si="43"/>
        <v>6.5025</v>
      </c>
      <c r="W91" s="145">
        <f>SUM(W92:W100)</f>
        <v>734666200</v>
      </c>
      <c r="X91" s="145"/>
    </row>
    <row r="92" spans="1:24" s="62" customFormat="1" ht="32.25" customHeight="1">
      <c r="A92" s="188">
        <v>1</v>
      </c>
      <c r="B92" s="115" t="s">
        <v>22</v>
      </c>
      <c r="C92" s="189"/>
      <c r="D92" s="190">
        <f aca="true" t="shared" si="44" ref="D92:D100">E92+F92+V92</f>
        <v>8.521</v>
      </c>
      <c r="E92" s="116">
        <f>3.66</f>
        <v>3.66</v>
      </c>
      <c r="F92" s="190">
        <f>SUM(G92:T92)</f>
        <v>3.9699999999999998</v>
      </c>
      <c r="G92" s="116">
        <v>0.7</v>
      </c>
      <c r="H92" s="116">
        <v>0.3</v>
      </c>
      <c r="I92" s="189"/>
      <c r="J92" s="117">
        <f>(E92+H92)*0.5</f>
        <v>1.98</v>
      </c>
      <c r="K92" s="189"/>
      <c r="L92" s="189"/>
      <c r="M92" s="189"/>
      <c r="N92" s="118">
        <f>0.25*(E92+H92)</f>
        <v>0.99</v>
      </c>
      <c r="O92" s="189"/>
      <c r="P92" s="189"/>
      <c r="Q92" s="189"/>
      <c r="R92" s="189"/>
      <c r="S92" s="189"/>
      <c r="T92" s="189"/>
      <c r="U92" s="189"/>
      <c r="V92" s="190">
        <f aca="true" t="shared" si="45" ref="V92:V99">(E92+H92)*22.5%</f>
        <v>0.891</v>
      </c>
      <c r="W92" s="119">
        <f>D92*5*1490000</f>
        <v>63481450.00000001</v>
      </c>
      <c r="X92" s="480">
        <f>(D92*1490000*5)+(D92+0.5)*1490000*7</f>
        <v>157570480.00000003</v>
      </c>
    </row>
    <row r="93" spans="1:24" s="62" customFormat="1" ht="32.25" customHeight="1">
      <c r="A93" s="188" t="s">
        <v>312</v>
      </c>
      <c r="B93" s="115" t="s">
        <v>22</v>
      </c>
      <c r="C93" s="189"/>
      <c r="D93" s="190">
        <f>E93+F93+V93</f>
        <v>9.020999999999999</v>
      </c>
      <c r="E93" s="116">
        <f>3.66</f>
        <v>3.66</v>
      </c>
      <c r="F93" s="190">
        <f>SUM(G93:U93)</f>
        <v>4.47</v>
      </c>
      <c r="G93" s="116">
        <v>0.7</v>
      </c>
      <c r="H93" s="116">
        <v>0.3</v>
      </c>
      <c r="I93" s="189"/>
      <c r="J93" s="117">
        <f>(E93+H93)*0.5</f>
        <v>1.98</v>
      </c>
      <c r="K93" s="189"/>
      <c r="L93" s="189"/>
      <c r="M93" s="189"/>
      <c r="N93" s="118">
        <f>0.25*(E93+H93)</f>
        <v>0.99</v>
      </c>
      <c r="O93" s="189"/>
      <c r="P93" s="189">
        <v>0.5</v>
      </c>
      <c r="Q93" s="189"/>
      <c r="R93" s="189"/>
      <c r="S93" s="189"/>
      <c r="T93" s="189"/>
      <c r="U93" s="189"/>
      <c r="V93" s="190">
        <f>(E93+H93)*22.5%</f>
        <v>0.891</v>
      </c>
      <c r="W93" s="119">
        <f>D93*7*1490000</f>
        <v>94089029.99999999</v>
      </c>
      <c r="X93" s="480"/>
    </row>
    <row r="94" spans="1:24" s="62" customFormat="1" ht="32.25" customHeight="1">
      <c r="A94" s="188">
        <v>2</v>
      </c>
      <c r="B94" s="115" t="s">
        <v>125</v>
      </c>
      <c r="C94" s="189"/>
      <c r="D94" s="190">
        <f>E94+F94+V94</f>
        <v>8.97525</v>
      </c>
      <c r="E94" s="116">
        <f>3.99</f>
        <v>3.99</v>
      </c>
      <c r="F94" s="190">
        <f>SUM(G94:T94)</f>
        <v>4.0425</v>
      </c>
      <c r="G94" s="116">
        <v>0.7</v>
      </c>
      <c r="H94" s="116">
        <v>0.2</v>
      </c>
      <c r="I94" s="189"/>
      <c r="J94" s="117">
        <f>(E94+H94)*0.5</f>
        <v>2.095</v>
      </c>
      <c r="K94" s="189"/>
      <c r="L94" s="189"/>
      <c r="M94" s="189"/>
      <c r="N94" s="118">
        <f>0.25*(E94+H94)</f>
        <v>1.0475</v>
      </c>
      <c r="O94" s="189"/>
      <c r="P94" s="189"/>
      <c r="Q94" s="189"/>
      <c r="R94" s="189"/>
      <c r="S94" s="189"/>
      <c r="T94" s="189"/>
      <c r="U94" s="189"/>
      <c r="V94" s="190">
        <f t="shared" si="45"/>
        <v>0.9427500000000001</v>
      </c>
      <c r="W94" s="119">
        <f>D94*5*1490000</f>
        <v>66865612.50000001</v>
      </c>
      <c r="X94" s="480"/>
    </row>
    <row r="95" spans="1:24" s="62" customFormat="1" ht="32.25" customHeight="1">
      <c r="A95" s="188" t="s">
        <v>312</v>
      </c>
      <c r="B95" s="115" t="s">
        <v>125</v>
      </c>
      <c r="C95" s="189"/>
      <c r="D95" s="190">
        <f>E95+F95+V95</f>
        <v>9.97525</v>
      </c>
      <c r="E95" s="116">
        <f>3.99</f>
        <v>3.99</v>
      </c>
      <c r="F95" s="190">
        <f>SUM(G95:T95)</f>
        <v>5.0425</v>
      </c>
      <c r="G95" s="116">
        <v>0.7</v>
      </c>
      <c r="H95" s="116">
        <v>0.2</v>
      </c>
      <c r="I95" s="189"/>
      <c r="J95" s="117">
        <f>(E95+H95)*0.5</f>
        <v>2.095</v>
      </c>
      <c r="K95" s="189"/>
      <c r="L95" s="189"/>
      <c r="M95" s="189"/>
      <c r="N95" s="118">
        <f>0.25*(E95+H95)</f>
        <v>1.0475</v>
      </c>
      <c r="O95" s="189"/>
      <c r="P95" s="189">
        <v>1</v>
      </c>
      <c r="Q95" s="189"/>
      <c r="R95" s="189"/>
      <c r="S95" s="189"/>
      <c r="T95" s="189"/>
      <c r="U95" s="189"/>
      <c r="V95" s="190">
        <f>(E95+H95)*22.5%</f>
        <v>0.9427500000000001</v>
      </c>
      <c r="W95" s="119">
        <f>D95*7*1490000</f>
        <v>104041857.5</v>
      </c>
      <c r="X95" s="480"/>
    </row>
    <row r="96" spans="1:25" s="62" customFormat="1" ht="32.25" customHeight="1">
      <c r="A96" s="188">
        <v>3</v>
      </c>
      <c r="B96" s="115" t="s">
        <v>124</v>
      </c>
      <c r="C96" s="189"/>
      <c r="D96" s="190">
        <f t="shared" si="44"/>
        <v>9.626999999999999</v>
      </c>
      <c r="E96" s="116">
        <f>4.32</f>
        <v>4.32</v>
      </c>
      <c r="F96" s="190">
        <f>SUM(G96:T96)</f>
        <v>4.29</v>
      </c>
      <c r="G96" s="116">
        <v>0.7</v>
      </c>
      <c r="H96" s="116">
        <v>0.2</v>
      </c>
      <c r="I96" s="189"/>
      <c r="J96" s="117">
        <f>(E96+H96)*0.5</f>
        <v>2.2600000000000002</v>
      </c>
      <c r="K96" s="189"/>
      <c r="L96" s="189"/>
      <c r="M96" s="189"/>
      <c r="N96" s="118">
        <f>0.25*(E96+H96)</f>
        <v>1.1300000000000001</v>
      </c>
      <c r="O96" s="189"/>
      <c r="P96" s="189"/>
      <c r="Q96" s="189"/>
      <c r="R96" s="189"/>
      <c r="S96" s="189"/>
      <c r="T96" s="189"/>
      <c r="U96" s="189"/>
      <c r="V96" s="190">
        <f t="shared" si="45"/>
        <v>1.0170000000000001</v>
      </c>
      <c r="W96" s="119">
        <f>D96*6*1490000</f>
        <v>86065379.99999999</v>
      </c>
      <c r="X96" s="480">
        <f>D96*1490000*12</f>
        <v>172130759.99999997</v>
      </c>
      <c r="Y96" s="481">
        <f>X96-X97</f>
        <v>111691889.99999999</v>
      </c>
    </row>
    <row r="97" spans="1:24" s="62" customFormat="1" ht="32.25" customHeight="1">
      <c r="A97" s="188"/>
      <c r="B97" s="115" t="s">
        <v>278</v>
      </c>
      <c r="C97" s="189"/>
      <c r="D97" s="190">
        <f t="shared" si="44"/>
        <v>2.8665</v>
      </c>
      <c r="E97" s="116">
        <v>2.34</v>
      </c>
      <c r="F97" s="190"/>
      <c r="G97" s="116"/>
      <c r="H97" s="116"/>
      <c r="I97" s="189"/>
      <c r="J97" s="117"/>
      <c r="K97" s="189"/>
      <c r="L97" s="189"/>
      <c r="M97" s="189"/>
      <c r="N97" s="118"/>
      <c r="O97" s="189"/>
      <c r="P97" s="189"/>
      <c r="Q97" s="189"/>
      <c r="R97" s="189"/>
      <c r="S97" s="189"/>
      <c r="T97" s="189"/>
      <c r="U97" s="189"/>
      <c r="V97" s="190">
        <f>(E97+H97)*22.5%</f>
        <v>0.5265</v>
      </c>
      <c r="W97" s="119">
        <f>D97*6*1490000</f>
        <v>25626509.999999996</v>
      </c>
      <c r="X97" s="480">
        <f>X96-W96-W97</f>
        <v>60438869.999999985</v>
      </c>
    </row>
    <row r="98" spans="1:24" s="63" customFormat="1" ht="32.25" customHeight="1">
      <c r="A98" s="188">
        <v>4</v>
      </c>
      <c r="B98" s="115" t="s">
        <v>123</v>
      </c>
      <c r="C98" s="190"/>
      <c r="D98" s="190">
        <f t="shared" si="44"/>
        <v>5.4597500000000005</v>
      </c>
      <c r="E98" s="116">
        <v>2.41</v>
      </c>
      <c r="F98" s="190">
        <f>SUM(G98:T98)</f>
        <v>2.5075000000000003</v>
      </c>
      <c r="G98" s="116">
        <v>0.7</v>
      </c>
      <c r="H98" s="190"/>
      <c r="I98" s="190"/>
      <c r="J98" s="117">
        <f>(E98+H98)*0.5</f>
        <v>1.205</v>
      </c>
      <c r="K98" s="190"/>
      <c r="L98" s="190"/>
      <c r="M98" s="190"/>
      <c r="N98" s="118">
        <f>0.25*(E98+H98)</f>
        <v>0.6025</v>
      </c>
      <c r="O98" s="190"/>
      <c r="P98" s="190"/>
      <c r="Q98" s="190"/>
      <c r="R98" s="190"/>
      <c r="S98" s="190"/>
      <c r="T98" s="190"/>
      <c r="U98" s="190"/>
      <c r="V98" s="190">
        <f t="shared" si="45"/>
        <v>0.54225</v>
      </c>
      <c r="W98" s="119">
        <f>(D98*5*1490000)+(D98+(E98*70%))*1490000*7</f>
        <v>115215740.00000001</v>
      </c>
      <c r="X98" s="480"/>
    </row>
    <row r="99" spans="1:24" s="120" customFormat="1" ht="32.25" customHeight="1">
      <c r="A99" s="188">
        <v>5</v>
      </c>
      <c r="B99" s="115" t="s">
        <v>122</v>
      </c>
      <c r="C99" s="191"/>
      <c r="D99" s="190">
        <f t="shared" si="44"/>
        <v>7.27675</v>
      </c>
      <c r="E99" s="116">
        <v>3.33</v>
      </c>
      <c r="F99" s="190">
        <f>SUM(G99:T99)</f>
        <v>3.1975000000000002</v>
      </c>
      <c r="G99" s="116">
        <v>0.7</v>
      </c>
      <c r="H99" s="191"/>
      <c r="I99" s="191"/>
      <c r="J99" s="117">
        <f>(E99+H99)*0.5</f>
        <v>1.665</v>
      </c>
      <c r="K99" s="191"/>
      <c r="L99" s="191"/>
      <c r="M99" s="191"/>
      <c r="N99" s="118">
        <f>0.25*(E99+H99)</f>
        <v>0.8325</v>
      </c>
      <c r="O99" s="191"/>
      <c r="P99" s="191"/>
      <c r="Q99" s="191"/>
      <c r="R99" s="191"/>
      <c r="S99" s="191"/>
      <c r="T99" s="191"/>
      <c r="U99" s="191"/>
      <c r="V99" s="190">
        <f t="shared" si="45"/>
        <v>0.7492500000000001</v>
      </c>
      <c r="W99" s="119">
        <f>(D99*5*1490000)+(D99+(E99*70%))*1490000*7</f>
        <v>154420620</v>
      </c>
      <c r="X99" s="480"/>
    </row>
    <row r="100" spans="1:24" s="120" customFormat="1" ht="32.25" customHeight="1">
      <c r="A100" s="482">
        <v>6</v>
      </c>
      <c r="B100" s="483" t="s">
        <v>314</v>
      </c>
      <c r="C100" s="484"/>
      <c r="D100" s="190">
        <f t="shared" si="44"/>
        <v>0</v>
      </c>
      <c r="E100" s="486"/>
      <c r="F100" s="190">
        <f>SUM(G100:T100)</f>
        <v>0</v>
      </c>
      <c r="G100" s="486"/>
      <c r="H100" s="484"/>
      <c r="I100" s="484"/>
      <c r="J100" s="487"/>
      <c r="K100" s="484"/>
      <c r="L100" s="484"/>
      <c r="M100" s="484"/>
      <c r="N100" s="488"/>
      <c r="O100" s="484"/>
      <c r="P100" s="484"/>
      <c r="Q100" s="484"/>
      <c r="R100" s="484"/>
      <c r="S100" s="484"/>
      <c r="T100" s="484"/>
      <c r="U100" s="484"/>
      <c r="V100" s="485"/>
      <c r="W100" s="489">
        <v>24860000</v>
      </c>
      <c r="X100" s="189">
        <f>(E100+H100)*70%</f>
        <v>0</v>
      </c>
    </row>
    <row r="101" spans="1:24" s="62" customFormat="1" ht="20.25" customHeight="1">
      <c r="A101" s="144">
        <v>5</v>
      </c>
      <c r="B101" s="236" t="s">
        <v>112</v>
      </c>
      <c r="C101" s="145"/>
      <c r="D101" s="145">
        <f aca="true" t="shared" si="46" ref="D101:W101">D102+D149+D155+D158+D162+D164</f>
        <v>461.87460249999987</v>
      </c>
      <c r="E101" s="145">
        <f t="shared" si="46"/>
        <v>176.73000000000002</v>
      </c>
      <c r="F101" s="145">
        <f t="shared" si="46"/>
        <v>273.89235249999996</v>
      </c>
      <c r="G101" s="145">
        <f t="shared" si="46"/>
        <v>35.69999999999998</v>
      </c>
      <c r="H101" s="145">
        <f t="shared" si="46"/>
        <v>9.350000000000001</v>
      </c>
      <c r="I101" s="145">
        <f t="shared" si="46"/>
        <v>0</v>
      </c>
      <c r="J101" s="145">
        <f t="shared" si="46"/>
        <v>89.53000000000002</v>
      </c>
      <c r="K101" s="145">
        <f t="shared" si="46"/>
        <v>0</v>
      </c>
      <c r="L101" s="145">
        <f t="shared" si="46"/>
        <v>1.0209000000000001</v>
      </c>
      <c r="M101" s="145">
        <f t="shared" si="46"/>
        <v>0</v>
      </c>
      <c r="N101" s="145">
        <f t="shared" si="46"/>
        <v>44.76500000000001</v>
      </c>
      <c r="O101" s="145">
        <f t="shared" si="46"/>
        <v>0</v>
      </c>
      <c r="P101" s="145">
        <f t="shared" si="46"/>
        <v>0</v>
      </c>
      <c r="Q101" s="145">
        <f t="shared" si="46"/>
        <v>0</v>
      </c>
      <c r="R101" s="145">
        <f t="shared" si="46"/>
        <v>0</v>
      </c>
      <c r="S101" s="145">
        <f t="shared" si="46"/>
        <v>59.568</v>
      </c>
      <c r="T101" s="145">
        <f t="shared" si="46"/>
        <v>2.4030000000000005</v>
      </c>
      <c r="U101" s="145">
        <f t="shared" si="46"/>
        <v>0.71</v>
      </c>
      <c r="V101" s="145">
        <f t="shared" si="46"/>
        <v>42.097702500000004</v>
      </c>
      <c r="W101" s="145">
        <f t="shared" si="46"/>
        <v>6847416777.95</v>
      </c>
      <c r="X101" s="145"/>
    </row>
    <row r="102" spans="1:24" s="62" customFormat="1" ht="12.75">
      <c r="A102" s="144" t="s">
        <v>283</v>
      </c>
      <c r="B102" s="180" t="s">
        <v>110</v>
      </c>
      <c r="C102" s="145"/>
      <c r="D102" s="145">
        <f>D103+D144</f>
        <v>345.20985249999984</v>
      </c>
      <c r="E102" s="145">
        <f aca="true" t="shared" si="47" ref="E102:V102">E103+E144</f>
        <v>129.57000000000002</v>
      </c>
      <c r="F102" s="145">
        <f t="shared" si="47"/>
        <v>215.6398525</v>
      </c>
      <c r="G102" s="145">
        <f t="shared" si="47"/>
        <v>27.299999999999983</v>
      </c>
      <c r="H102" s="145">
        <f t="shared" si="47"/>
        <v>6.500000000000001</v>
      </c>
      <c r="I102" s="145">
        <f t="shared" si="47"/>
        <v>0</v>
      </c>
      <c r="J102" s="145">
        <f t="shared" si="47"/>
        <v>68.03500000000001</v>
      </c>
      <c r="K102" s="145">
        <f t="shared" si="47"/>
        <v>0</v>
      </c>
      <c r="L102" s="145">
        <f t="shared" si="47"/>
        <v>1.0209000000000001</v>
      </c>
      <c r="M102" s="145">
        <f t="shared" si="47"/>
        <v>0</v>
      </c>
      <c r="N102" s="145">
        <f t="shared" si="47"/>
        <v>34.017500000000005</v>
      </c>
      <c r="O102" s="145">
        <f t="shared" si="47"/>
        <v>0</v>
      </c>
      <c r="P102" s="145">
        <f t="shared" si="47"/>
        <v>0</v>
      </c>
      <c r="Q102" s="145">
        <f t="shared" si="47"/>
        <v>0</v>
      </c>
      <c r="R102" s="145">
        <f t="shared" si="47"/>
        <v>0</v>
      </c>
      <c r="S102" s="145">
        <f t="shared" si="47"/>
        <v>46.671</v>
      </c>
      <c r="T102" s="145">
        <f t="shared" si="47"/>
        <v>1</v>
      </c>
      <c r="U102" s="145">
        <f t="shared" si="47"/>
        <v>0.25</v>
      </c>
      <c r="V102" s="145">
        <f t="shared" si="47"/>
        <v>30.845452500000004</v>
      </c>
      <c r="W102" s="145">
        <f>W103+W144</f>
        <v>5172056680.45</v>
      </c>
      <c r="X102" s="145"/>
    </row>
    <row r="103" spans="1:24" s="65" customFormat="1" ht="16.5" customHeight="1">
      <c r="A103" s="464"/>
      <c r="B103" s="465" t="s">
        <v>73</v>
      </c>
      <c r="C103" s="466"/>
      <c r="D103" s="57">
        <f>SUM(D104:D142)</f>
        <v>345.20985249999984</v>
      </c>
      <c r="E103" s="57">
        <f aca="true" t="shared" si="48" ref="E103:V103">SUM(E104:E142)</f>
        <v>129.57000000000002</v>
      </c>
      <c r="F103" s="57">
        <f t="shared" si="48"/>
        <v>215.6398525</v>
      </c>
      <c r="G103" s="57">
        <f t="shared" si="48"/>
        <v>27.299999999999983</v>
      </c>
      <c r="H103" s="57">
        <f t="shared" si="48"/>
        <v>6.500000000000001</v>
      </c>
      <c r="I103" s="57">
        <f t="shared" si="48"/>
        <v>0</v>
      </c>
      <c r="J103" s="57">
        <f t="shared" si="48"/>
        <v>68.03500000000001</v>
      </c>
      <c r="K103" s="57">
        <f t="shared" si="48"/>
        <v>0</v>
      </c>
      <c r="L103" s="57">
        <f t="shared" si="48"/>
        <v>1.0209000000000001</v>
      </c>
      <c r="M103" s="57">
        <f t="shared" si="48"/>
        <v>0</v>
      </c>
      <c r="N103" s="57">
        <f t="shared" si="48"/>
        <v>34.017500000000005</v>
      </c>
      <c r="O103" s="57">
        <f t="shared" si="48"/>
        <v>0</v>
      </c>
      <c r="P103" s="57">
        <f t="shared" si="48"/>
        <v>0</v>
      </c>
      <c r="Q103" s="57">
        <f t="shared" si="48"/>
        <v>0</v>
      </c>
      <c r="R103" s="57">
        <f t="shared" si="48"/>
        <v>0</v>
      </c>
      <c r="S103" s="57">
        <f t="shared" si="48"/>
        <v>46.671</v>
      </c>
      <c r="T103" s="57">
        <f t="shared" si="48"/>
        <v>1</v>
      </c>
      <c r="U103" s="57">
        <f t="shared" si="48"/>
        <v>0.25</v>
      </c>
      <c r="V103" s="57">
        <f t="shared" si="48"/>
        <v>30.845452500000004</v>
      </c>
      <c r="W103" s="57">
        <f>SUM(W104:W143)</f>
        <v>4755614680.45</v>
      </c>
      <c r="X103" s="57"/>
    </row>
    <row r="104" spans="1:24" s="65" customFormat="1" ht="16.5" customHeight="1">
      <c r="A104" s="464">
        <v>1</v>
      </c>
      <c r="B104" s="467" t="s">
        <v>109</v>
      </c>
      <c r="C104" s="468"/>
      <c r="D104" s="58">
        <f>E104+F104</f>
        <v>13.453499999999998</v>
      </c>
      <c r="E104" s="58">
        <v>4.74</v>
      </c>
      <c r="F104" s="58">
        <f>SUM(G104:V104)</f>
        <v>8.713499999999998</v>
      </c>
      <c r="G104" s="58">
        <v>0.7</v>
      </c>
      <c r="H104" s="58">
        <v>0.8</v>
      </c>
      <c r="I104" s="58"/>
      <c r="J104" s="58">
        <f>(E104+H104)*50%</f>
        <v>2.77</v>
      </c>
      <c r="K104" s="58"/>
      <c r="L104" s="58"/>
      <c r="M104" s="58"/>
      <c r="N104" s="58">
        <f>(E104+H104)*0.25</f>
        <v>1.385</v>
      </c>
      <c r="O104" s="58"/>
      <c r="P104" s="58"/>
      <c r="Q104" s="58"/>
      <c r="R104" s="58"/>
      <c r="S104" s="58">
        <f>(E104+H104)*0.3+0.15</f>
        <v>1.8119999999999998</v>
      </c>
      <c r="T104" s="58"/>
      <c r="U104" s="58"/>
      <c r="V104" s="58">
        <f>(E104+H104)*22.5%</f>
        <v>1.2465</v>
      </c>
      <c r="W104" s="469">
        <f>D104*1490000*12</f>
        <v>240548579.99999994</v>
      </c>
      <c r="X104" s="58"/>
    </row>
    <row r="105" spans="1:24" s="65" customFormat="1" ht="16.5" customHeight="1">
      <c r="A105" s="464">
        <v>2</v>
      </c>
      <c r="B105" s="467" t="s">
        <v>34</v>
      </c>
      <c r="C105" s="468"/>
      <c r="D105" s="58">
        <f aca="true" t="shared" si="49" ref="D105:D142">E105+F105</f>
        <v>10.01825</v>
      </c>
      <c r="E105" s="58">
        <v>3.33</v>
      </c>
      <c r="F105" s="58">
        <f>SUM(G105:V105)</f>
        <v>6.68825</v>
      </c>
      <c r="G105" s="58">
        <v>0.7</v>
      </c>
      <c r="H105" s="58">
        <v>0.7</v>
      </c>
      <c r="I105" s="58"/>
      <c r="J105" s="58">
        <f aca="true" t="shared" si="50" ref="J105:J148">(E105+H105)*50%</f>
        <v>2.015</v>
      </c>
      <c r="K105" s="58"/>
      <c r="L105" s="58"/>
      <c r="M105" s="58"/>
      <c r="N105" s="58">
        <f aca="true" t="shared" si="51" ref="N105:N148">(E105+H105)*0.25</f>
        <v>1.0075</v>
      </c>
      <c r="O105" s="58"/>
      <c r="P105" s="58"/>
      <c r="Q105" s="58"/>
      <c r="R105" s="58"/>
      <c r="S105" s="58">
        <f>(E105+H105)*0.3+0.15</f>
        <v>1.359</v>
      </c>
      <c r="T105" s="58"/>
      <c r="U105" s="58"/>
      <c r="V105" s="58">
        <f aca="true" t="shared" si="52" ref="V105:V148">(E105+H105)*22.5%</f>
        <v>0.9067500000000001</v>
      </c>
      <c r="W105" s="469">
        <f>D105*1490000*12</f>
        <v>179126310</v>
      </c>
      <c r="X105" s="58"/>
    </row>
    <row r="106" spans="1:24" s="65" customFormat="1" ht="16.5" customHeight="1">
      <c r="A106" s="464">
        <v>3</v>
      </c>
      <c r="B106" s="470" t="s">
        <v>37</v>
      </c>
      <c r="C106" s="468"/>
      <c r="D106" s="58">
        <f t="shared" si="49"/>
        <v>16.02019</v>
      </c>
      <c r="E106" s="58">
        <v>5.76</v>
      </c>
      <c r="F106" s="58">
        <f>SUM(G106:V106)</f>
        <v>10.260189999999998</v>
      </c>
      <c r="G106" s="58">
        <v>0.7</v>
      </c>
      <c r="H106" s="58">
        <v>0.6</v>
      </c>
      <c r="I106" s="58"/>
      <c r="J106" s="58">
        <f t="shared" si="50"/>
        <v>3.1799999999999997</v>
      </c>
      <c r="K106" s="58"/>
      <c r="L106" s="58">
        <f>(E106+H106)*9%</f>
        <v>0.5723999999999999</v>
      </c>
      <c r="M106" s="58"/>
      <c r="N106" s="58">
        <f t="shared" si="51"/>
        <v>1.5899999999999999</v>
      </c>
      <c r="O106" s="58"/>
      <c r="P106" s="58"/>
      <c r="Q106" s="58"/>
      <c r="R106" s="58"/>
      <c r="S106" s="58">
        <f aca="true" t="shared" si="53" ref="S106:S142">(E106+H106)*0.3+0.15</f>
        <v>2.058</v>
      </c>
      <c r="T106" s="58"/>
      <c r="U106" s="58"/>
      <c r="V106" s="58">
        <f>(E106+H106+L106)*22.5%</f>
        <v>1.55979</v>
      </c>
      <c r="W106" s="469">
        <f>D106*1490000*12</f>
        <v>286440997.2</v>
      </c>
      <c r="X106" s="58"/>
    </row>
    <row r="107" spans="1:24" s="65" customFormat="1" ht="16.5" customHeight="1">
      <c r="A107" s="464">
        <v>4</v>
      </c>
      <c r="B107" s="470" t="s">
        <v>17</v>
      </c>
      <c r="C107" s="468"/>
      <c r="D107" s="58">
        <f t="shared" si="49"/>
        <v>11.42875</v>
      </c>
      <c r="E107" s="58">
        <v>4.4</v>
      </c>
      <c r="F107" s="58">
        <f>SUM(G107:V107)</f>
        <v>7.0287500000000005</v>
      </c>
      <c r="G107" s="58">
        <v>0.7</v>
      </c>
      <c r="H107" s="58">
        <v>0.25</v>
      </c>
      <c r="I107" s="58"/>
      <c r="J107" s="58">
        <f t="shared" si="50"/>
        <v>2.325</v>
      </c>
      <c r="K107" s="58"/>
      <c r="L107" s="58"/>
      <c r="M107" s="58"/>
      <c r="N107" s="58">
        <f t="shared" si="51"/>
        <v>1.1625</v>
      </c>
      <c r="O107" s="58"/>
      <c r="P107" s="58"/>
      <c r="Q107" s="58"/>
      <c r="R107" s="58"/>
      <c r="S107" s="58">
        <f t="shared" si="53"/>
        <v>1.545</v>
      </c>
      <c r="T107" s="58"/>
      <c r="U107" s="58"/>
      <c r="V107" s="58">
        <f t="shared" si="52"/>
        <v>1.0462500000000001</v>
      </c>
      <c r="W107" s="469">
        <f>D107*1490000*12</f>
        <v>204346050</v>
      </c>
      <c r="X107" s="58"/>
    </row>
    <row r="108" spans="1:24" s="65" customFormat="1" ht="16.5" customHeight="1">
      <c r="A108" s="585">
        <v>5</v>
      </c>
      <c r="B108" s="592" t="s">
        <v>107</v>
      </c>
      <c r="C108" s="468"/>
      <c r="D108" s="58">
        <f t="shared" si="49"/>
        <v>5.6274999999999995</v>
      </c>
      <c r="E108" s="58">
        <v>2.1</v>
      </c>
      <c r="F108" s="58">
        <f aca="true" t="shared" si="54" ref="F108:F142">SUM(G108:V108)</f>
        <v>3.5275</v>
      </c>
      <c r="G108" s="58">
        <v>0.7</v>
      </c>
      <c r="H108" s="58"/>
      <c r="I108" s="58"/>
      <c r="J108" s="58">
        <f t="shared" si="50"/>
        <v>1.05</v>
      </c>
      <c r="K108" s="58"/>
      <c r="L108" s="58"/>
      <c r="M108" s="58"/>
      <c r="N108" s="58">
        <f>(E108+H108)*0.25</f>
        <v>0.525</v>
      </c>
      <c r="O108" s="58"/>
      <c r="P108" s="58"/>
      <c r="Q108" s="58"/>
      <c r="R108" s="58"/>
      <c r="S108" s="58">
        <f t="shared" si="53"/>
        <v>0.78</v>
      </c>
      <c r="T108" s="58"/>
      <c r="U108" s="58"/>
      <c r="V108" s="58">
        <f t="shared" si="52"/>
        <v>0.47250000000000003</v>
      </c>
      <c r="W108" s="469">
        <f>D108*1490000*9</f>
        <v>75464774.99999999</v>
      </c>
      <c r="X108" s="58" t="s">
        <v>290</v>
      </c>
    </row>
    <row r="109" spans="1:24" s="472" customFormat="1" ht="25.5">
      <c r="A109" s="587"/>
      <c r="B109" s="593"/>
      <c r="C109" s="468"/>
      <c r="D109" s="58">
        <f t="shared" si="49"/>
        <v>6.332750000000001</v>
      </c>
      <c r="E109" s="58">
        <v>2.41</v>
      </c>
      <c r="F109" s="58">
        <f t="shared" si="54"/>
        <v>3.9227500000000006</v>
      </c>
      <c r="G109" s="58">
        <v>0.7</v>
      </c>
      <c r="H109" s="58"/>
      <c r="I109" s="58"/>
      <c r="J109" s="58">
        <f t="shared" si="50"/>
        <v>1.205</v>
      </c>
      <c r="K109" s="58"/>
      <c r="L109" s="58"/>
      <c r="M109" s="58"/>
      <c r="N109" s="58">
        <f t="shared" si="51"/>
        <v>0.6025</v>
      </c>
      <c r="O109" s="58"/>
      <c r="P109" s="58"/>
      <c r="Q109" s="58"/>
      <c r="R109" s="58"/>
      <c r="S109" s="58">
        <f t="shared" si="53"/>
        <v>0.873</v>
      </c>
      <c r="T109" s="58"/>
      <c r="U109" s="58"/>
      <c r="V109" s="58">
        <f t="shared" si="52"/>
        <v>0.54225</v>
      </c>
      <c r="W109" s="88">
        <f>D109*3*1490000</f>
        <v>28307392.500000004</v>
      </c>
      <c r="X109" s="471" t="s">
        <v>291</v>
      </c>
    </row>
    <row r="110" spans="1:24" s="472" customFormat="1" ht="15" customHeight="1">
      <c r="A110" s="585">
        <v>6</v>
      </c>
      <c r="B110" s="591" t="s">
        <v>106</v>
      </c>
      <c r="C110" s="468"/>
      <c r="D110" s="58">
        <f t="shared" si="49"/>
        <v>10.678</v>
      </c>
      <c r="E110" s="58">
        <v>4.32</v>
      </c>
      <c r="F110" s="58">
        <f t="shared" si="54"/>
        <v>6.3580000000000005</v>
      </c>
      <c r="G110" s="58">
        <v>0.7</v>
      </c>
      <c r="H110" s="58"/>
      <c r="I110" s="58"/>
      <c r="J110" s="58">
        <f t="shared" si="50"/>
        <v>2.16</v>
      </c>
      <c r="K110" s="58"/>
      <c r="L110" s="58"/>
      <c r="M110" s="58"/>
      <c r="N110" s="58">
        <f t="shared" si="51"/>
        <v>1.08</v>
      </c>
      <c r="O110" s="58"/>
      <c r="P110" s="58"/>
      <c r="Q110" s="58"/>
      <c r="R110" s="58"/>
      <c r="S110" s="58">
        <f t="shared" si="53"/>
        <v>1.446</v>
      </c>
      <c r="T110" s="58"/>
      <c r="U110" s="58"/>
      <c r="V110" s="58">
        <f t="shared" si="52"/>
        <v>0.9720000000000001</v>
      </c>
      <c r="W110" s="88">
        <f>D110*1490000*2</f>
        <v>31820440.000000004</v>
      </c>
      <c r="X110" s="471" t="s">
        <v>292</v>
      </c>
    </row>
    <row r="111" spans="1:24" s="472" customFormat="1" ht="30.75" customHeight="1">
      <c r="A111" s="586"/>
      <c r="B111" s="589"/>
      <c r="C111" s="468"/>
      <c r="D111" s="58">
        <f t="shared" si="49"/>
        <v>10.9426</v>
      </c>
      <c r="E111" s="58">
        <v>4.32</v>
      </c>
      <c r="F111" s="58">
        <f t="shared" si="54"/>
        <v>6.6226</v>
      </c>
      <c r="G111" s="58">
        <v>0.7</v>
      </c>
      <c r="H111" s="58"/>
      <c r="I111" s="58"/>
      <c r="J111" s="58">
        <f t="shared" si="50"/>
        <v>2.16</v>
      </c>
      <c r="K111" s="58"/>
      <c r="L111" s="58">
        <f>E111*5%</f>
        <v>0.21600000000000003</v>
      </c>
      <c r="M111" s="58"/>
      <c r="N111" s="58">
        <f t="shared" si="51"/>
        <v>1.08</v>
      </c>
      <c r="O111" s="58"/>
      <c r="P111" s="58"/>
      <c r="Q111" s="58"/>
      <c r="R111" s="58"/>
      <c r="S111" s="58">
        <f t="shared" si="53"/>
        <v>1.446</v>
      </c>
      <c r="T111" s="58"/>
      <c r="U111" s="58"/>
      <c r="V111" s="58">
        <f>(E111+H111+L111)*22.5%</f>
        <v>1.0206000000000002</v>
      </c>
      <c r="W111" s="88">
        <f>D111*1490000*8</f>
        <v>130435792</v>
      </c>
      <c r="X111" s="471" t="s">
        <v>293</v>
      </c>
    </row>
    <row r="112" spans="1:24" s="63" customFormat="1" ht="25.5">
      <c r="A112" s="587"/>
      <c r="B112" s="590"/>
      <c r="C112" s="58"/>
      <c r="D112" s="58">
        <f t="shared" si="49"/>
        <v>11.7135625</v>
      </c>
      <c r="E112" s="58">
        <v>4.65</v>
      </c>
      <c r="F112" s="58">
        <f t="shared" si="54"/>
        <v>7.0635625</v>
      </c>
      <c r="G112" s="58">
        <v>0.7</v>
      </c>
      <c r="H112" s="58"/>
      <c r="I112" s="58"/>
      <c r="J112" s="58">
        <f>(E112+H112)*50%</f>
        <v>2.325</v>
      </c>
      <c r="K112" s="58"/>
      <c r="L112" s="58">
        <f>E112*5%</f>
        <v>0.23250000000000004</v>
      </c>
      <c r="M112" s="58"/>
      <c r="N112" s="58">
        <f>(E112+H112)*0.25</f>
        <v>1.1625</v>
      </c>
      <c r="O112" s="58"/>
      <c r="P112" s="58"/>
      <c r="Q112" s="58"/>
      <c r="R112" s="58"/>
      <c r="S112" s="58">
        <f t="shared" si="53"/>
        <v>1.545</v>
      </c>
      <c r="T112" s="58"/>
      <c r="U112" s="58"/>
      <c r="V112" s="58">
        <f>(E112+H112+L112)*22.5%</f>
        <v>1.0985625</v>
      </c>
      <c r="W112" s="88">
        <f>D112*2*1490000</f>
        <v>34906416.25</v>
      </c>
      <c r="X112" s="473" t="s">
        <v>294</v>
      </c>
    </row>
    <row r="113" spans="1:24" s="63" customFormat="1" ht="15" customHeight="1">
      <c r="A113" s="585">
        <v>7</v>
      </c>
      <c r="B113" s="591" t="s">
        <v>105</v>
      </c>
      <c r="C113" s="58"/>
      <c r="D113" s="58">
        <f t="shared" si="49"/>
        <v>6.4465</v>
      </c>
      <c r="E113" s="58">
        <v>2.46</v>
      </c>
      <c r="F113" s="58">
        <f t="shared" si="54"/>
        <v>3.9865</v>
      </c>
      <c r="G113" s="58">
        <v>0.7</v>
      </c>
      <c r="H113" s="58"/>
      <c r="I113" s="58"/>
      <c r="J113" s="58">
        <f>(E113+H113)*50%</f>
        <v>1.23</v>
      </c>
      <c r="K113" s="58"/>
      <c r="L113" s="58"/>
      <c r="M113" s="58"/>
      <c r="N113" s="58">
        <f>(E113+H113)*0.25</f>
        <v>0.615</v>
      </c>
      <c r="O113" s="58"/>
      <c r="P113" s="58"/>
      <c r="Q113" s="58"/>
      <c r="R113" s="58"/>
      <c r="S113" s="58">
        <f t="shared" si="53"/>
        <v>0.888</v>
      </c>
      <c r="T113" s="58"/>
      <c r="U113" s="58"/>
      <c r="V113" s="58">
        <f>(E113+H113+L113)*22.5%</f>
        <v>0.5535</v>
      </c>
      <c r="W113" s="88">
        <f>D113*1490000*9</f>
        <v>86447565</v>
      </c>
      <c r="X113" s="473" t="s">
        <v>290</v>
      </c>
    </row>
    <row r="114" spans="1:24" s="63" customFormat="1" ht="25.5">
      <c r="A114" s="587"/>
      <c r="B114" s="590"/>
      <c r="C114" s="58"/>
      <c r="D114" s="58">
        <f t="shared" si="49"/>
        <v>6.9015</v>
      </c>
      <c r="E114" s="58">
        <v>2.66</v>
      </c>
      <c r="F114" s="58">
        <f t="shared" si="54"/>
        <v>4.2415</v>
      </c>
      <c r="G114" s="58">
        <v>0.7</v>
      </c>
      <c r="H114" s="58"/>
      <c r="I114" s="58"/>
      <c r="J114" s="58">
        <f t="shared" si="50"/>
        <v>1.33</v>
      </c>
      <c r="K114" s="58"/>
      <c r="L114" s="58"/>
      <c r="M114" s="58"/>
      <c r="N114" s="58">
        <f t="shared" si="51"/>
        <v>0.665</v>
      </c>
      <c r="O114" s="58"/>
      <c r="P114" s="58"/>
      <c r="Q114" s="58"/>
      <c r="R114" s="58"/>
      <c r="S114" s="58">
        <f t="shared" si="53"/>
        <v>0.9480000000000001</v>
      </c>
      <c r="T114" s="58"/>
      <c r="U114" s="58"/>
      <c r="V114" s="58">
        <f t="shared" si="52"/>
        <v>0.5985</v>
      </c>
      <c r="W114" s="88">
        <f>D114*3*1490000</f>
        <v>30849705.000000004</v>
      </c>
      <c r="X114" s="471" t="s">
        <v>291</v>
      </c>
    </row>
    <row r="115" spans="1:24" s="63" customFormat="1" ht="15">
      <c r="A115" s="60">
        <v>8</v>
      </c>
      <c r="B115" s="470" t="s">
        <v>36</v>
      </c>
      <c r="C115" s="58"/>
      <c r="D115" s="58">
        <f t="shared" si="49"/>
        <v>13.772</v>
      </c>
      <c r="E115" s="58">
        <v>5.08</v>
      </c>
      <c r="F115" s="58">
        <f t="shared" si="54"/>
        <v>8.692</v>
      </c>
      <c r="G115" s="58">
        <v>0.7</v>
      </c>
      <c r="H115" s="58">
        <v>0.6</v>
      </c>
      <c r="I115" s="58"/>
      <c r="J115" s="58">
        <f t="shared" si="50"/>
        <v>2.84</v>
      </c>
      <c r="K115" s="58"/>
      <c r="L115" s="58"/>
      <c r="M115" s="58"/>
      <c r="N115" s="58">
        <f t="shared" si="51"/>
        <v>1.42</v>
      </c>
      <c r="O115" s="58"/>
      <c r="P115" s="58"/>
      <c r="Q115" s="58"/>
      <c r="R115" s="58"/>
      <c r="S115" s="58">
        <f t="shared" si="53"/>
        <v>1.8539999999999999</v>
      </c>
      <c r="T115" s="58"/>
      <c r="U115" s="58"/>
      <c r="V115" s="58">
        <f t="shared" si="52"/>
        <v>1.278</v>
      </c>
      <c r="W115" s="88">
        <f aca="true" t="shared" si="55" ref="W115:W121">D115*1490000*12</f>
        <v>246243360</v>
      </c>
      <c r="X115" s="471"/>
    </row>
    <row r="116" spans="1:24" s="63" customFormat="1" ht="15">
      <c r="A116" s="60">
        <v>9</v>
      </c>
      <c r="B116" s="470" t="s">
        <v>103</v>
      </c>
      <c r="C116" s="58"/>
      <c r="D116" s="58">
        <f t="shared" si="49"/>
        <v>9.631499999999999</v>
      </c>
      <c r="E116" s="58">
        <v>3.66</v>
      </c>
      <c r="F116" s="58">
        <f t="shared" si="54"/>
        <v>5.9715</v>
      </c>
      <c r="G116" s="58">
        <v>0.7</v>
      </c>
      <c r="H116" s="58">
        <v>0.2</v>
      </c>
      <c r="I116" s="58"/>
      <c r="J116" s="58">
        <f t="shared" si="50"/>
        <v>1.9300000000000002</v>
      </c>
      <c r="K116" s="58"/>
      <c r="L116" s="58"/>
      <c r="M116" s="58"/>
      <c r="N116" s="58">
        <f t="shared" si="51"/>
        <v>0.9650000000000001</v>
      </c>
      <c r="O116" s="58"/>
      <c r="P116" s="58"/>
      <c r="Q116" s="58"/>
      <c r="R116" s="58"/>
      <c r="S116" s="58">
        <f t="shared" si="53"/>
        <v>1.308</v>
      </c>
      <c r="T116" s="58"/>
      <c r="U116" s="58"/>
      <c r="V116" s="58">
        <f t="shared" si="52"/>
        <v>0.8685</v>
      </c>
      <c r="W116" s="88">
        <f t="shared" si="55"/>
        <v>172211219.99999997</v>
      </c>
      <c r="X116" s="471"/>
    </row>
    <row r="117" spans="1:24" s="63" customFormat="1" ht="15">
      <c r="A117" s="60">
        <v>10</v>
      </c>
      <c r="B117" s="470" t="s">
        <v>26</v>
      </c>
      <c r="C117" s="58"/>
      <c r="D117" s="58">
        <f t="shared" si="49"/>
        <v>10.496</v>
      </c>
      <c r="E117" s="58">
        <v>3.99</v>
      </c>
      <c r="F117" s="58">
        <f t="shared" si="54"/>
        <v>6.506</v>
      </c>
      <c r="G117" s="58">
        <v>0.7</v>
      </c>
      <c r="H117" s="58">
        <v>0.25</v>
      </c>
      <c r="I117" s="58"/>
      <c r="J117" s="58">
        <f t="shared" si="50"/>
        <v>2.12</v>
      </c>
      <c r="K117" s="58"/>
      <c r="L117" s="58"/>
      <c r="M117" s="58"/>
      <c r="N117" s="58">
        <f t="shared" si="51"/>
        <v>1.06</v>
      </c>
      <c r="O117" s="58"/>
      <c r="P117" s="58"/>
      <c r="Q117" s="58"/>
      <c r="R117" s="58"/>
      <c r="S117" s="58">
        <f t="shared" si="53"/>
        <v>1.422</v>
      </c>
      <c r="T117" s="58"/>
      <c r="U117" s="58"/>
      <c r="V117" s="58">
        <f t="shared" si="52"/>
        <v>0.9540000000000001</v>
      </c>
      <c r="W117" s="88">
        <f t="shared" si="55"/>
        <v>187668480</v>
      </c>
      <c r="X117" s="471"/>
    </row>
    <row r="118" spans="1:24" s="63" customFormat="1" ht="15">
      <c r="A118" s="60">
        <v>11</v>
      </c>
      <c r="B118" s="470" t="s">
        <v>96</v>
      </c>
      <c r="C118" s="58"/>
      <c r="D118" s="58">
        <f t="shared" si="49"/>
        <v>6.92425</v>
      </c>
      <c r="E118" s="58">
        <v>2.67</v>
      </c>
      <c r="F118" s="58">
        <f t="shared" si="54"/>
        <v>4.25425</v>
      </c>
      <c r="G118" s="58">
        <v>0.7</v>
      </c>
      <c r="H118" s="58"/>
      <c r="I118" s="58"/>
      <c r="J118" s="58">
        <f t="shared" si="50"/>
        <v>1.335</v>
      </c>
      <c r="K118" s="58"/>
      <c r="L118" s="58"/>
      <c r="M118" s="58"/>
      <c r="N118" s="58">
        <f t="shared" si="51"/>
        <v>0.6675</v>
      </c>
      <c r="O118" s="58"/>
      <c r="P118" s="58"/>
      <c r="Q118" s="58"/>
      <c r="R118" s="58"/>
      <c r="S118" s="58">
        <f t="shared" si="53"/>
        <v>0.951</v>
      </c>
      <c r="T118" s="58"/>
      <c r="U118" s="58"/>
      <c r="V118" s="58">
        <f t="shared" si="52"/>
        <v>0.60075</v>
      </c>
      <c r="W118" s="88">
        <f t="shared" si="55"/>
        <v>123805590</v>
      </c>
      <c r="X118" s="471"/>
    </row>
    <row r="119" spans="1:24" s="63" customFormat="1" ht="15">
      <c r="A119" s="60">
        <v>12</v>
      </c>
      <c r="B119" s="470" t="s">
        <v>24</v>
      </c>
      <c r="C119" s="58"/>
      <c r="D119" s="58">
        <f t="shared" si="49"/>
        <v>10.18375</v>
      </c>
      <c r="E119" s="58">
        <v>3.33</v>
      </c>
      <c r="F119" s="58">
        <f t="shared" si="54"/>
        <v>6.853749999999999</v>
      </c>
      <c r="G119" s="58">
        <v>0.7</v>
      </c>
      <c r="H119" s="58">
        <v>0.6</v>
      </c>
      <c r="I119" s="58"/>
      <c r="J119" s="58">
        <f t="shared" si="50"/>
        <v>1.965</v>
      </c>
      <c r="K119" s="58"/>
      <c r="L119" s="58"/>
      <c r="M119" s="58"/>
      <c r="N119" s="58">
        <f t="shared" si="51"/>
        <v>0.9825</v>
      </c>
      <c r="O119" s="58"/>
      <c r="P119" s="58"/>
      <c r="Q119" s="58"/>
      <c r="R119" s="58"/>
      <c r="S119" s="58">
        <f t="shared" si="53"/>
        <v>1.329</v>
      </c>
      <c r="T119" s="58">
        <f>(E119+H119)*10%</f>
        <v>0.393</v>
      </c>
      <c r="U119" s="58"/>
      <c r="V119" s="58">
        <f t="shared" si="52"/>
        <v>0.8842500000000001</v>
      </c>
      <c r="W119" s="88">
        <f t="shared" si="55"/>
        <v>182085450</v>
      </c>
      <c r="X119" s="471"/>
    </row>
    <row r="120" spans="1:24" s="63" customFormat="1" ht="15">
      <c r="A120" s="60">
        <v>13</v>
      </c>
      <c r="B120" s="470" t="s">
        <v>28</v>
      </c>
      <c r="C120" s="58"/>
      <c r="D120" s="58">
        <f t="shared" si="49"/>
        <v>8.880749999999999</v>
      </c>
      <c r="E120" s="58">
        <v>3.33</v>
      </c>
      <c r="F120" s="58">
        <f t="shared" si="54"/>
        <v>5.55075</v>
      </c>
      <c r="G120" s="58">
        <v>0.7</v>
      </c>
      <c r="H120" s="58">
        <v>0.2</v>
      </c>
      <c r="I120" s="58"/>
      <c r="J120" s="58">
        <f t="shared" si="50"/>
        <v>1.7650000000000001</v>
      </c>
      <c r="K120" s="58"/>
      <c r="L120" s="58"/>
      <c r="M120" s="58"/>
      <c r="N120" s="58">
        <f t="shared" si="51"/>
        <v>0.8825000000000001</v>
      </c>
      <c r="O120" s="58"/>
      <c r="P120" s="58"/>
      <c r="Q120" s="58"/>
      <c r="R120" s="58"/>
      <c r="S120" s="58">
        <f t="shared" si="53"/>
        <v>1.2089999999999999</v>
      </c>
      <c r="T120" s="58"/>
      <c r="U120" s="58"/>
      <c r="V120" s="58">
        <f t="shared" si="52"/>
        <v>0.7942500000000001</v>
      </c>
      <c r="W120" s="88">
        <f t="shared" si="55"/>
        <v>158787809.99999997</v>
      </c>
      <c r="X120" s="471"/>
    </row>
    <row r="121" spans="1:24" s="63" customFormat="1" ht="15">
      <c r="A121" s="60">
        <v>14</v>
      </c>
      <c r="B121" s="470" t="s">
        <v>100</v>
      </c>
      <c r="C121" s="58"/>
      <c r="D121" s="58">
        <f t="shared" si="49"/>
        <v>10.56425</v>
      </c>
      <c r="E121" s="58">
        <v>4.27</v>
      </c>
      <c r="F121" s="58">
        <f t="shared" si="54"/>
        <v>6.29425</v>
      </c>
      <c r="G121" s="58">
        <v>0.7</v>
      </c>
      <c r="H121" s="58"/>
      <c r="I121" s="58"/>
      <c r="J121" s="58">
        <f t="shared" si="50"/>
        <v>2.135</v>
      </c>
      <c r="K121" s="58"/>
      <c r="L121" s="58"/>
      <c r="M121" s="58"/>
      <c r="N121" s="58">
        <f t="shared" si="51"/>
        <v>1.0675</v>
      </c>
      <c r="O121" s="58"/>
      <c r="P121" s="58"/>
      <c r="Q121" s="58"/>
      <c r="R121" s="58"/>
      <c r="S121" s="58">
        <f t="shared" si="53"/>
        <v>1.4309999999999998</v>
      </c>
      <c r="T121" s="58"/>
      <c r="U121" s="58"/>
      <c r="V121" s="58">
        <f t="shared" si="52"/>
        <v>0.9607499999999999</v>
      </c>
      <c r="W121" s="88">
        <f t="shared" si="55"/>
        <v>188888790</v>
      </c>
      <c r="X121" s="471"/>
    </row>
    <row r="122" spans="1:24" s="63" customFormat="1" ht="15">
      <c r="A122" s="60">
        <v>15</v>
      </c>
      <c r="B122" s="470" t="s">
        <v>102</v>
      </c>
      <c r="C122" s="58"/>
      <c r="D122" s="58">
        <f t="shared" si="49"/>
        <v>6.92425</v>
      </c>
      <c r="E122" s="58">
        <v>2.67</v>
      </c>
      <c r="F122" s="58">
        <f t="shared" si="54"/>
        <v>4.25425</v>
      </c>
      <c r="G122" s="58">
        <v>0.7</v>
      </c>
      <c r="H122" s="58"/>
      <c r="I122" s="58"/>
      <c r="J122" s="58">
        <f t="shared" si="50"/>
        <v>1.335</v>
      </c>
      <c r="K122" s="58"/>
      <c r="L122" s="58"/>
      <c r="M122" s="58"/>
      <c r="N122" s="58">
        <f t="shared" si="51"/>
        <v>0.6675</v>
      </c>
      <c r="O122" s="58"/>
      <c r="P122" s="58"/>
      <c r="Q122" s="58"/>
      <c r="R122" s="58"/>
      <c r="S122" s="58">
        <f t="shared" si="53"/>
        <v>0.951</v>
      </c>
      <c r="T122" s="58"/>
      <c r="U122" s="58"/>
      <c r="V122" s="58">
        <f t="shared" si="52"/>
        <v>0.60075</v>
      </c>
      <c r="W122" s="88">
        <f>D122*1490000*3</f>
        <v>30951397.5</v>
      </c>
      <c r="X122" s="471" t="s">
        <v>295</v>
      </c>
    </row>
    <row r="123" spans="1:24" s="63" customFormat="1" ht="15" customHeight="1">
      <c r="A123" s="585">
        <v>16</v>
      </c>
      <c r="B123" s="588" t="s">
        <v>45</v>
      </c>
      <c r="C123" s="58"/>
      <c r="D123" s="58">
        <f t="shared" si="49"/>
        <v>7.379250000000001</v>
      </c>
      <c r="E123" s="58">
        <v>2.67</v>
      </c>
      <c r="F123" s="58">
        <f t="shared" si="54"/>
        <v>4.709250000000001</v>
      </c>
      <c r="G123" s="58">
        <v>0.7</v>
      </c>
      <c r="H123" s="58">
        <v>0.2</v>
      </c>
      <c r="I123" s="58"/>
      <c r="J123" s="58">
        <f t="shared" si="50"/>
        <v>1.435</v>
      </c>
      <c r="K123" s="58"/>
      <c r="L123" s="58"/>
      <c r="M123" s="58"/>
      <c r="N123" s="58">
        <f t="shared" si="51"/>
        <v>0.7175</v>
      </c>
      <c r="O123" s="58"/>
      <c r="P123" s="58"/>
      <c r="Q123" s="58"/>
      <c r="R123" s="58"/>
      <c r="S123" s="58">
        <f t="shared" si="53"/>
        <v>1.011</v>
      </c>
      <c r="T123" s="58"/>
      <c r="U123" s="58"/>
      <c r="V123" s="58">
        <f t="shared" si="52"/>
        <v>0.64575</v>
      </c>
      <c r="W123" s="88">
        <f>D123*1490000*3</f>
        <v>32985247.500000007</v>
      </c>
      <c r="X123" s="471" t="s">
        <v>295</v>
      </c>
    </row>
    <row r="124" spans="1:24" s="63" customFormat="1" ht="27.75" customHeight="1">
      <c r="A124" s="586"/>
      <c r="B124" s="589"/>
      <c r="C124" s="58"/>
      <c r="D124" s="58">
        <f t="shared" si="49"/>
        <v>7.66625</v>
      </c>
      <c r="E124" s="58">
        <v>2.67</v>
      </c>
      <c r="F124" s="58">
        <f t="shared" si="54"/>
        <v>4.99625</v>
      </c>
      <c r="G124" s="58">
        <v>0.7</v>
      </c>
      <c r="H124" s="58">
        <v>0.2</v>
      </c>
      <c r="I124" s="58"/>
      <c r="J124" s="58">
        <f t="shared" si="50"/>
        <v>1.435</v>
      </c>
      <c r="K124" s="58"/>
      <c r="L124" s="58"/>
      <c r="M124" s="58"/>
      <c r="N124" s="58">
        <f t="shared" si="51"/>
        <v>0.7175</v>
      </c>
      <c r="O124" s="58"/>
      <c r="P124" s="58"/>
      <c r="Q124" s="58"/>
      <c r="R124" s="58"/>
      <c r="S124" s="58">
        <f t="shared" si="53"/>
        <v>1.011</v>
      </c>
      <c r="T124" s="58">
        <f>(E124+H124)*10%</f>
        <v>0.28700000000000003</v>
      </c>
      <c r="U124" s="58"/>
      <c r="V124" s="58">
        <f t="shared" si="52"/>
        <v>0.64575</v>
      </c>
      <c r="W124" s="88">
        <f>D124*1490000*8</f>
        <v>91381700</v>
      </c>
      <c r="X124" s="471" t="s">
        <v>296</v>
      </c>
    </row>
    <row r="125" spans="1:24" s="63" customFormat="1" ht="12.75">
      <c r="A125" s="587"/>
      <c r="B125" s="590"/>
      <c r="C125" s="58"/>
      <c r="D125" s="58">
        <f t="shared" si="49"/>
        <v>8.45</v>
      </c>
      <c r="E125" s="58">
        <v>3</v>
      </c>
      <c r="F125" s="58">
        <f t="shared" si="54"/>
        <v>5.45</v>
      </c>
      <c r="G125" s="58">
        <v>0.7</v>
      </c>
      <c r="H125" s="58">
        <v>0.2</v>
      </c>
      <c r="I125" s="58"/>
      <c r="J125" s="58">
        <f t="shared" si="50"/>
        <v>1.6</v>
      </c>
      <c r="K125" s="58"/>
      <c r="L125" s="58"/>
      <c r="M125" s="58"/>
      <c r="N125" s="58">
        <f t="shared" si="51"/>
        <v>0.8</v>
      </c>
      <c r="O125" s="58"/>
      <c r="P125" s="58"/>
      <c r="Q125" s="58"/>
      <c r="R125" s="58"/>
      <c r="S125" s="58">
        <f t="shared" si="53"/>
        <v>1.1099999999999999</v>
      </c>
      <c r="T125" s="58">
        <f>(E125+H125)*10%</f>
        <v>0.32000000000000006</v>
      </c>
      <c r="U125" s="58"/>
      <c r="V125" s="58">
        <f t="shared" si="52"/>
        <v>0.7200000000000001</v>
      </c>
      <c r="W125" s="88">
        <f>D125*1490000</f>
        <v>12590499.999999998</v>
      </c>
      <c r="X125" s="473" t="s">
        <v>297</v>
      </c>
    </row>
    <row r="126" spans="1:24" s="63" customFormat="1" ht="12.75">
      <c r="A126" s="60">
        <v>17</v>
      </c>
      <c r="B126" s="474" t="s">
        <v>23</v>
      </c>
      <c r="C126" s="58"/>
      <c r="D126" s="58">
        <f t="shared" si="49"/>
        <v>11.883750000000001</v>
      </c>
      <c r="E126" s="58">
        <v>4.65</v>
      </c>
      <c r="F126" s="58">
        <f t="shared" si="54"/>
        <v>7.233750000000001</v>
      </c>
      <c r="G126" s="58">
        <v>0.7</v>
      </c>
      <c r="H126" s="58">
        <v>0.2</v>
      </c>
      <c r="I126" s="58"/>
      <c r="J126" s="58">
        <f t="shared" si="50"/>
        <v>2.4250000000000003</v>
      </c>
      <c r="K126" s="58"/>
      <c r="L126" s="58"/>
      <c r="M126" s="58"/>
      <c r="N126" s="58">
        <f t="shared" si="51"/>
        <v>1.2125000000000001</v>
      </c>
      <c r="O126" s="58"/>
      <c r="P126" s="58"/>
      <c r="Q126" s="58"/>
      <c r="R126" s="58"/>
      <c r="S126" s="58">
        <f t="shared" si="53"/>
        <v>1.605</v>
      </c>
      <c r="T126" s="58"/>
      <c r="U126" s="58"/>
      <c r="V126" s="58">
        <f t="shared" si="52"/>
        <v>1.09125</v>
      </c>
      <c r="W126" s="88">
        <f>D126*1490000*3</f>
        <v>53120362.5</v>
      </c>
      <c r="X126" s="473" t="s">
        <v>295</v>
      </c>
    </row>
    <row r="127" spans="1:24" s="63" customFormat="1" ht="12.75">
      <c r="A127" s="60">
        <v>18</v>
      </c>
      <c r="B127" s="475" t="s">
        <v>25</v>
      </c>
      <c r="C127" s="58"/>
      <c r="D127" s="58">
        <f t="shared" si="49"/>
        <v>10.5415</v>
      </c>
      <c r="E127" s="58">
        <v>3.96</v>
      </c>
      <c r="F127" s="58">
        <f t="shared" si="54"/>
        <v>6.5815</v>
      </c>
      <c r="G127" s="58">
        <v>0.7</v>
      </c>
      <c r="H127" s="58">
        <v>0.3</v>
      </c>
      <c r="I127" s="58"/>
      <c r="J127" s="58">
        <f t="shared" si="50"/>
        <v>2.13</v>
      </c>
      <c r="K127" s="58"/>
      <c r="L127" s="58"/>
      <c r="M127" s="58"/>
      <c r="N127" s="58">
        <f t="shared" si="51"/>
        <v>1.065</v>
      </c>
      <c r="O127" s="58"/>
      <c r="P127" s="58"/>
      <c r="Q127" s="58"/>
      <c r="R127" s="58"/>
      <c r="S127" s="58">
        <f t="shared" si="53"/>
        <v>1.4279999999999997</v>
      </c>
      <c r="T127" s="58"/>
      <c r="U127" s="58"/>
      <c r="V127" s="58">
        <f t="shared" si="52"/>
        <v>0.9585</v>
      </c>
      <c r="W127" s="88">
        <f>D127*1490000*9</f>
        <v>141361514.99999997</v>
      </c>
      <c r="X127" s="473" t="s">
        <v>298</v>
      </c>
    </row>
    <row r="128" spans="1:25" s="495" customFormat="1" ht="39" customHeight="1">
      <c r="A128" s="490">
        <v>19</v>
      </c>
      <c r="B128" s="491" t="s">
        <v>108</v>
      </c>
      <c r="C128" s="492"/>
      <c r="D128" s="492">
        <f>E128+F128</f>
        <v>9.859</v>
      </c>
      <c r="E128" s="492">
        <v>3.66</v>
      </c>
      <c r="F128" s="492">
        <f>SUM(G128:V128)</f>
        <v>6.199</v>
      </c>
      <c r="G128" s="492">
        <v>0.7</v>
      </c>
      <c r="H128" s="492">
        <v>0.3</v>
      </c>
      <c r="I128" s="492"/>
      <c r="J128" s="492">
        <f t="shared" si="50"/>
        <v>1.98</v>
      </c>
      <c r="K128" s="492"/>
      <c r="L128" s="492"/>
      <c r="M128" s="492"/>
      <c r="N128" s="492">
        <f t="shared" si="51"/>
        <v>0.99</v>
      </c>
      <c r="O128" s="492"/>
      <c r="P128" s="492"/>
      <c r="Q128" s="492"/>
      <c r="R128" s="492"/>
      <c r="S128" s="492">
        <f t="shared" si="53"/>
        <v>1.3379999999999999</v>
      </c>
      <c r="T128" s="492"/>
      <c r="U128" s="492"/>
      <c r="V128" s="492">
        <f t="shared" si="52"/>
        <v>0.891</v>
      </c>
      <c r="W128" s="493">
        <f>D128*1490000*12</f>
        <v>176278920</v>
      </c>
      <c r="X128" s="494">
        <f>D128*6*1490000</f>
        <v>88139460</v>
      </c>
      <c r="Y128" s="497">
        <f>X128-X129</f>
        <v>6508320</v>
      </c>
    </row>
    <row r="129" spans="1:25" s="495" customFormat="1" ht="39" customHeight="1">
      <c r="A129" s="490"/>
      <c r="B129" s="491"/>
      <c r="C129" s="492"/>
      <c r="D129" s="492">
        <f>E129+F129</f>
        <v>9.131</v>
      </c>
      <c r="E129" s="492">
        <v>3.34</v>
      </c>
      <c r="F129" s="492">
        <f>SUM(G129:V129)</f>
        <v>5.7909999999999995</v>
      </c>
      <c r="G129" s="492">
        <v>0.7</v>
      </c>
      <c r="H129" s="492">
        <v>0.3</v>
      </c>
      <c r="I129" s="492"/>
      <c r="J129" s="492">
        <f>(E129+H129)*50%</f>
        <v>1.8199999999999998</v>
      </c>
      <c r="K129" s="492"/>
      <c r="L129" s="492"/>
      <c r="M129" s="492"/>
      <c r="N129" s="492">
        <f>(E129+H129)*0.25</f>
        <v>0.9099999999999999</v>
      </c>
      <c r="O129" s="492"/>
      <c r="P129" s="492"/>
      <c r="Q129" s="492"/>
      <c r="R129" s="492"/>
      <c r="S129" s="492">
        <f>(E129+H129)*0.3+0.15</f>
        <v>1.2419999999999998</v>
      </c>
      <c r="T129" s="492"/>
      <c r="U129" s="492"/>
      <c r="V129" s="492">
        <f>(E129+H129)*22.5%</f>
        <v>0.819</v>
      </c>
      <c r="W129" s="493">
        <f>(D129*1490000*6)</f>
        <v>81631140</v>
      </c>
      <c r="X129" s="494">
        <f>D129*6*1490000</f>
        <v>81631140</v>
      </c>
      <c r="Y129" s="497"/>
    </row>
    <row r="130" spans="1:25" s="63" customFormat="1" ht="12.75">
      <c r="A130" s="60">
        <v>20</v>
      </c>
      <c r="B130" s="474" t="s">
        <v>98</v>
      </c>
      <c r="C130" s="58"/>
      <c r="D130" s="58">
        <f t="shared" si="49"/>
        <v>8.129999999999999</v>
      </c>
      <c r="E130" s="58">
        <v>3</v>
      </c>
      <c r="F130" s="58">
        <f t="shared" si="54"/>
        <v>5.13</v>
      </c>
      <c r="G130" s="58">
        <v>0.7</v>
      </c>
      <c r="H130" s="58">
        <v>0.2</v>
      </c>
      <c r="I130" s="58"/>
      <c r="J130" s="58">
        <f t="shared" si="50"/>
        <v>1.6</v>
      </c>
      <c r="K130" s="58"/>
      <c r="L130" s="58"/>
      <c r="M130" s="58"/>
      <c r="N130" s="58">
        <f t="shared" si="51"/>
        <v>0.8</v>
      </c>
      <c r="O130" s="58"/>
      <c r="P130" s="58"/>
      <c r="Q130" s="58"/>
      <c r="R130" s="58"/>
      <c r="S130" s="58">
        <f t="shared" si="53"/>
        <v>1.1099999999999999</v>
      </c>
      <c r="T130" s="58"/>
      <c r="U130" s="58"/>
      <c r="V130" s="58">
        <f t="shared" si="52"/>
        <v>0.7200000000000001</v>
      </c>
      <c r="W130" s="88">
        <f>D130*1490000*12</f>
        <v>145364399.99999997</v>
      </c>
      <c r="X130" s="473"/>
      <c r="Y130" s="496">
        <f>D128-Y128</f>
        <v>-6508310.141</v>
      </c>
    </row>
    <row r="131" spans="1:25" s="63" customFormat="1" ht="24" customHeight="1">
      <c r="A131" s="585">
        <v>21</v>
      </c>
      <c r="B131" s="591" t="s">
        <v>99</v>
      </c>
      <c r="C131" s="58"/>
      <c r="D131" s="58">
        <f t="shared" si="49"/>
        <v>8.880749999999999</v>
      </c>
      <c r="E131" s="58">
        <v>3.33</v>
      </c>
      <c r="F131" s="58">
        <f t="shared" si="54"/>
        <v>5.55075</v>
      </c>
      <c r="G131" s="58">
        <v>0.7</v>
      </c>
      <c r="H131" s="58">
        <v>0.2</v>
      </c>
      <c r="I131" s="58"/>
      <c r="J131" s="58">
        <f t="shared" si="50"/>
        <v>1.7650000000000001</v>
      </c>
      <c r="K131" s="58"/>
      <c r="L131" s="58"/>
      <c r="M131" s="58"/>
      <c r="N131" s="58">
        <f t="shared" si="51"/>
        <v>0.8825000000000001</v>
      </c>
      <c r="O131" s="58"/>
      <c r="P131" s="58"/>
      <c r="Q131" s="58"/>
      <c r="R131" s="58"/>
      <c r="S131" s="58">
        <f t="shared" si="53"/>
        <v>1.2089999999999999</v>
      </c>
      <c r="T131" s="58"/>
      <c r="U131" s="58"/>
      <c r="V131" s="58">
        <f t="shared" si="52"/>
        <v>0.7942500000000001</v>
      </c>
      <c r="W131" s="88">
        <f>D131*1490000*10</f>
        <v>132323174.99999999</v>
      </c>
      <c r="X131" s="473" t="s">
        <v>299</v>
      </c>
      <c r="Y131" s="496">
        <f>Y130*2*1490000</f>
        <v>-19394764220180</v>
      </c>
    </row>
    <row r="132" spans="1:24" s="63" customFormat="1" ht="30.75" customHeight="1">
      <c r="A132" s="587"/>
      <c r="B132" s="590"/>
      <c r="C132" s="58"/>
      <c r="D132" s="58">
        <f t="shared" si="49"/>
        <v>9.631499999999999</v>
      </c>
      <c r="E132" s="58">
        <v>3.66</v>
      </c>
      <c r="F132" s="58">
        <f t="shared" si="54"/>
        <v>5.9715</v>
      </c>
      <c r="G132" s="58">
        <v>0.7</v>
      </c>
      <c r="H132" s="58">
        <v>0.2</v>
      </c>
      <c r="I132" s="58"/>
      <c r="J132" s="58">
        <f t="shared" si="50"/>
        <v>1.9300000000000002</v>
      </c>
      <c r="K132" s="58"/>
      <c r="L132" s="58"/>
      <c r="M132" s="58"/>
      <c r="N132" s="58">
        <f t="shared" si="51"/>
        <v>0.9650000000000001</v>
      </c>
      <c r="O132" s="58"/>
      <c r="P132" s="58"/>
      <c r="Q132" s="58"/>
      <c r="R132" s="58"/>
      <c r="S132" s="58">
        <f t="shared" si="53"/>
        <v>1.308</v>
      </c>
      <c r="T132" s="58"/>
      <c r="U132" s="58"/>
      <c r="V132" s="58">
        <f t="shared" si="52"/>
        <v>0.8685</v>
      </c>
      <c r="W132" s="88">
        <f>D132*2*1490000</f>
        <v>28701869.999999996</v>
      </c>
      <c r="X132" s="473" t="s">
        <v>300</v>
      </c>
    </row>
    <row r="133" spans="1:24" s="63" customFormat="1" ht="12.75">
      <c r="A133" s="60">
        <v>22</v>
      </c>
      <c r="B133" s="474" t="s">
        <v>97</v>
      </c>
      <c r="C133" s="58"/>
      <c r="D133" s="58">
        <f t="shared" si="49"/>
        <v>7.12425</v>
      </c>
      <c r="E133" s="58">
        <v>2.67</v>
      </c>
      <c r="F133" s="58">
        <f t="shared" si="54"/>
        <v>4.45425</v>
      </c>
      <c r="G133" s="58">
        <v>0.7</v>
      </c>
      <c r="H133" s="58"/>
      <c r="I133" s="58"/>
      <c r="J133" s="58">
        <f t="shared" si="50"/>
        <v>1.335</v>
      </c>
      <c r="K133" s="58"/>
      <c r="L133" s="58"/>
      <c r="M133" s="58"/>
      <c r="N133" s="58">
        <f t="shared" si="51"/>
        <v>0.6675</v>
      </c>
      <c r="O133" s="58"/>
      <c r="P133" s="58"/>
      <c r="Q133" s="58"/>
      <c r="R133" s="58"/>
      <c r="S133" s="58">
        <f t="shared" si="53"/>
        <v>0.951</v>
      </c>
      <c r="T133" s="58"/>
      <c r="U133" s="58">
        <v>0.2</v>
      </c>
      <c r="V133" s="58">
        <f t="shared" si="52"/>
        <v>0.60075</v>
      </c>
      <c r="W133" s="88">
        <f>D133*1490000*8</f>
        <v>84921060</v>
      </c>
      <c r="X133" s="473" t="s">
        <v>301</v>
      </c>
    </row>
    <row r="134" spans="1:24" s="63" customFormat="1" ht="15">
      <c r="A134" s="60">
        <v>23</v>
      </c>
      <c r="B134" s="470" t="s">
        <v>95</v>
      </c>
      <c r="C134" s="58"/>
      <c r="D134" s="58">
        <f t="shared" si="49"/>
        <v>6.92425</v>
      </c>
      <c r="E134" s="58">
        <v>2.67</v>
      </c>
      <c r="F134" s="58">
        <f t="shared" si="54"/>
        <v>4.25425</v>
      </c>
      <c r="G134" s="58">
        <v>0.7</v>
      </c>
      <c r="H134" s="58"/>
      <c r="I134" s="58"/>
      <c r="J134" s="58">
        <f t="shared" si="50"/>
        <v>1.335</v>
      </c>
      <c r="K134" s="58"/>
      <c r="L134" s="58"/>
      <c r="M134" s="58"/>
      <c r="N134" s="58">
        <f t="shared" si="51"/>
        <v>0.6675</v>
      </c>
      <c r="O134" s="58"/>
      <c r="P134" s="58"/>
      <c r="Q134" s="58"/>
      <c r="R134" s="58"/>
      <c r="S134" s="58">
        <f t="shared" si="53"/>
        <v>0.951</v>
      </c>
      <c r="T134" s="58"/>
      <c r="U134" s="58"/>
      <c r="V134" s="58">
        <f t="shared" si="52"/>
        <v>0.60075</v>
      </c>
      <c r="W134" s="88">
        <f aca="true" t="shared" si="56" ref="W134:W139">D134*1490000*12</f>
        <v>123805590</v>
      </c>
      <c r="X134" s="473"/>
    </row>
    <row r="135" spans="1:24" s="63" customFormat="1" ht="15">
      <c r="A135" s="60">
        <v>24</v>
      </c>
      <c r="B135" s="470" t="s">
        <v>94</v>
      </c>
      <c r="C135" s="58"/>
      <c r="D135" s="58">
        <f t="shared" si="49"/>
        <v>6.1735</v>
      </c>
      <c r="E135" s="58">
        <v>2.34</v>
      </c>
      <c r="F135" s="58">
        <f t="shared" si="54"/>
        <v>3.8335</v>
      </c>
      <c r="G135" s="58">
        <v>0.7</v>
      </c>
      <c r="H135" s="58"/>
      <c r="I135" s="58"/>
      <c r="J135" s="58">
        <f t="shared" si="50"/>
        <v>1.17</v>
      </c>
      <c r="K135" s="58"/>
      <c r="L135" s="58"/>
      <c r="M135" s="58"/>
      <c r="N135" s="58">
        <f t="shared" si="51"/>
        <v>0.585</v>
      </c>
      <c r="O135" s="58"/>
      <c r="P135" s="58"/>
      <c r="Q135" s="58"/>
      <c r="R135" s="58"/>
      <c r="S135" s="58">
        <f t="shared" si="53"/>
        <v>0.852</v>
      </c>
      <c r="T135" s="58"/>
      <c r="U135" s="58"/>
      <c r="V135" s="58">
        <f t="shared" si="52"/>
        <v>0.5265</v>
      </c>
      <c r="W135" s="88">
        <f t="shared" si="56"/>
        <v>110382180</v>
      </c>
      <c r="X135" s="473"/>
    </row>
    <row r="136" spans="1:24" s="63" customFormat="1" ht="15">
      <c r="A136" s="60">
        <v>25</v>
      </c>
      <c r="B136" s="470" t="s">
        <v>93</v>
      </c>
      <c r="C136" s="58"/>
      <c r="D136" s="58">
        <f t="shared" si="49"/>
        <v>6.92425</v>
      </c>
      <c r="E136" s="58">
        <v>2.67</v>
      </c>
      <c r="F136" s="58">
        <f t="shared" si="54"/>
        <v>4.25425</v>
      </c>
      <c r="G136" s="58">
        <v>0.7</v>
      </c>
      <c r="H136" s="58"/>
      <c r="I136" s="58"/>
      <c r="J136" s="58">
        <f t="shared" si="50"/>
        <v>1.335</v>
      </c>
      <c r="K136" s="58"/>
      <c r="L136" s="58"/>
      <c r="M136" s="58"/>
      <c r="N136" s="58">
        <f t="shared" si="51"/>
        <v>0.6675</v>
      </c>
      <c r="O136" s="58"/>
      <c r="P136" s="58"/>
      <c r="Q136" s="58"/>
      <c r="R136" s="58"/>
      <c r="S136" s="58">
        <f t="shared" si="53"/>
        <v>0.951</v>
      </c>
      <c r="T136" s="58"/>
      <c r="U136" s="58"/>
      <c r="V136" s="58">
        <f t="shared" si="52"/>
        <v>0.60075</v>
      </c>
      <c r="W136" s="88">
        <f t="shared" si="56"/>
        <v>123805590</v>
      </c>
      <c r="X136" s="473"/>
    </row>
    <row r="137" spans="1:24" s="63" customFormat="1" ht="15">
      <c r="A137" s="60">
        <v>26</v>
      </c>
      <c r="B137" s="470" t="s">
        <v>92</v>
      </c>
      <c r="C137" s="58"/>
      <c r="D137" s="58">
        <f t="shared" si="49"/>
        <v>6.041499999999999</v>
      </c>
      <c r="E137" s="58">
        <v>2.26</v>
      </c>
      <c r="F137" s="58">
        <f t="shared" si="54"/>
        <v>3.7814999999999994</v>
      </c>
      <c r="G137" s="58">
        <v>0.7</v>
      </c>
      <c r="H137" s="58"/>
      <c r="I137" s="58"/>
      <c r="J137" s="58">
        <f t="shared" si="50"/>
        <v>1.13</v>
      </c>
      <c r="K137" s="58"/>
      <c r="L137" s="58"/>
      <c r="M137" s="58"/>
      <c r="N137" s="58">
        <f t="shared" si="51"/>
        <v>0.565</v>
      </c>
      <c r="O137" s="58"/>
      <c r="P137" s="58"/>
      <c r="Q137" s="58"/>
      <c r="R137" s="58"/>
      <c r="S137" s="58">
        <f t="shared" si="53"/>
        <v>0.828</v>
      </c>
      <c r="T137" s="58"/>
      <c r="U137" s="58">
        <v>0.05</v>
      </c>
      <c r="V137" s="58">
        <f t="shared" si="52"/>
        <v>0.5085</v>
      </c>
      <c r="W137" s="88">
        <f t="shared" si="56"/>
        <v>108022019.99999997</v>
      </c>
      <c r="X137" s="473"/>
    </row>
    <row r="138" spans="1:24" s="63" customFormat="1" ht="15">
      <c r="A138" s="60">
        <v>27</v>
      </c>
      <c r="B138" s="470" t="s">
        <v>90</v>
      </c>
      <c r="C138" s="58"/>
      <c r="D138" s="58">
        <f t="shared" si="49"/>
        <v>6.1735</v>
      </c>
      <c r="E138" s="58">
        <v>2.34</v>
      </c>
      <c r="F138" s="58">
        <f t="shared" si="54"/>
        <v>3.8335</v>
      </c>
      <c r="G138" s="58">
        <v>0.7</v>
      </c>
      <c r="H138" s="58"/>
      <c r="I138" s="58"/>
      <c r="J138" s="58">
        <f t="shared" si="50"/>
        <v>1.17</v>
      </c>
      <c r="K138" s="58"/>
      <c r="L138" s="58"/>
      <c r="M138" s="58"/>
      <c r="N138" s="58">
        <f t="shared" si="51"/>
        <v>0.585</v>
      </c>
      <c r="O138" s="58"/>
      <c r="P138" s="58"/>
      <c r="Q138" s="58"/>
      <c r="R138" s="58"/>
      <c r="S138" s="58">
        <f t="shared" si="53"/>
        <v>0.852</v>
      </c>
      <c r="T138" s="58"/>
      <c r="U138" s="58"/>
      <c r="V138" s="58">
        <f t="shared" si="52"/>
        <v>0.5265</v>
      </c>
      <c r="W138" s="88">
        <f t="shared" si="56"/>
        <v>110382180</v>
      </c>
      <c r="X138" s="473"/>
    </row>
    <row r="139" spans="1:24" s="63" customFormat="1" ht="15">
      <c r="A139" s="60">
        <v>28</v>
      </c>
      <c r="B139" s="470" t="s">
        <v>89</v>
      </c>
      <c r="C139" s="58"/>
      <c r="D139" s="58">
        <f t="shared" si="49"/>
        <v>6.92425</v>
      </c>
      <c r="E139" s="58">
        <v>2.67</v>
      </c>
      <c r="F139" s="58">
        <f t="shared" si="54"/>
        <v>4.25425</v>
      </c>
      <c r="G139" s="58">
        <v>0.7</v>
      </c>
      <c r="H139" s="58"/>
      <c r="I139" s="58"/>
      <c r="J139" s="58">
        <f t="shared" si="50"/>
        <v>1.335</v>
      </c>
      <c r="K139" s="58"/>
      <c r="L139" s="58"/>
      <c r="M139" s="58"/>
      <c r="N139" s="58">
        <f t="shared" si="51"/>
        <v>0.6675</v>
      </c>
      <c r="O139" s="58"/>
      <c r="P139" s="58"/>
      <c r="Q139" s="58"/>
      <c r="R139" s="58"/>
      <c r="S139" s="58">
        <f t="shared" si="53"/>
        <v>0.951</v>
      </c>
      <c r="T139" s="58"/>
      <c r="U139" s="58"/>
      <c r="V139" s="58">
        <f t="shared" si="52"/>
        <v>0.60075</v>
      </c>
      <c r="W139" s="88">
        <f t="shared" si="56"/>
        <v>123805590</v>
      </c>
      <c r="X139" s="473"/>
    </row>
    <row r="140" spans="1:24" s="63" customFormat="1" ht="15" customHeight="1">
      <c r="A140" s="585">
        <v>29</v>
      </c>
      <c r="B140" s="592" t="s">
        <v>88</v>
      </c>
      <c r="C140" s="58"/>
      <c r="D140" s="58">
        <f t="shared" si="49"/>
        <v>6.9015</v>
      </c>
      <c r="E140" s="58">
        <v>2.66</v>
      </c>
      <c r="F140" s="58">
        <f t="shared" si="54"/>
        <v>4.2415</v>
      </c>
      <c r="G140" s="58">
        <v>0.7</v>
      </c>
      <c r="H140" s="58"/>
      <c r="I140" s="58"/>
      <c r="J140" s="58">
        <f t="shared" si="50"/>
        <v>1.33</v>
      </c>
      <c r="K140" s="58"/>
      <c r="L140" s="58"/>
      <c r="M140" s="58"/>
      <c r="N140" s="58">
        <f t="shared" si="51"/>
        <v>0.665</v>
      </c>
      <c r="O140" s="58"/>
      <c r="P140" s="58"/>
      <c r="Q140" s="58"/>
      <c r="R140" s="58"/>
      <c r="S140" s="58">
        <f t="shared" si="53"/>
        <v>0.9480000000000001</v>
      </c>
      <c r="T140" s="58"/>
      <c r="U140" s="58"/>
      <c r="V140" s="58">
        <f t="shared" si="52"/>
        <v>0.5985</v>
      </c>
      <c r="W140" s="88">
        <f>D140*1490000*3</f>
        <v>30849705</v>
      </c>
      <c r="X140" s="473" t="s">
        <v>295</v>
      </c>
    </row>
    <row r="141" spans="1:25" s="63" customFormat="1" ht="28.5" customHeight="1">
      <c r="A141" s="587"/>
      <c r="B141" s="593"/>
      <c r="C141" s="58"/>
      <c r="D141" s="58">
        <f t="shared" si="49"/>
        <v>7.356499999999999</v>
      </c>
      <c r="E141" s="58">
        <v>2.86</v>
      </c>
      <c r="F141" s="58">
        <f t="shared" si="54"/>
        <v>4.496499999999999</v>
      </c>
      <c r="G141" s="58">
        <v>0.7</v>
      </c>
      <c r="H141" s="58"/>
      <c r="I141" s="58"/>
      <c r="J141" s="58">
        <f t="shared" si="50"/>
        <v>1.43</v>
      </c>
      <c r="K141" s="58"/>
      <c r="L141" s="58"/>
      <c r="M141" s="58"/>
      <c r="N141" s="58">
        <f t="shared" si="51"/>
        <v>0.715</v>
      </c>
      <c r="O141" s="58"/>
      <c r="P141" s="58"/>
      <c r="Q141" s="58"/>
      <c r="R141" s="58"/>
      <c r="S141" s="58">
        <f t="shared" si="53"/>
        <v>1.008</v>
      </c>
      <c r="T141" s="58"/>
      <c r="U141" s="58"/>
      <c r="V141" s="58">
        <f t="shared" si="52"/>
        <v>0.6435</v>
      </c>
      <c r="W141" s="88">
        <f>D141*1490000*9</f>
        <v>98650664.99999999</v>
      </c>
      <c r="X141" s="473" t="s">
        <v>298</v>
      </c>
      <c r="Y141" s="479">
        <f>D142*3*1490000</f>
        <v>27595544.999999996</v>
      </c>
    </row>
    <row r="142" spans="1:24" s="63" customFormat="1" ht="12.75">
      <c r="A142" s="60">
        <v>30</v>
      </c>
      <c r="B142" s="474" t="s">
        <v>91</v>
      </c>
      <c r="C142" s="58"/>
      <c r="D142" s="58">
        <f t="shared" si="49"/>
        <v>6.1735</v>
      </c>
      <c r="E142" s="58">
        <v>2.34</v>
      </c>
      <c r="F142" s="58">
        <f t="shared" si="54"/>
        <v>3.8335</v>
      </c>
      <c r="G142" s="58">
        <v>0.7</v>
      </c>
      <c r="H142" s="58"/>
      <c r="I142" s="58"/>
      <c r="J142" s="58">
        <f t="shared" si="50"/>
        <v>1.17</v>
      </c>
      <c r="K142" s="58"/>
      <c r="L142" s="58"/>
      <c r="M142" s="58"/>
      <c r="N142" s="58">
        <f t="shared" si="51"/>
        <v>0.585</v>
      </c>
      <c r="O142" s="58"/>
      <c r="P142" s="58"/>
      <c r="Q142" s="58"/>
      <c r="R142" s="58"/>
      <c r="S142" s="58">
        <f t="shared" si="53"/>
        <v>0.852</v>
      </c>
      <c r="T142" s="58"/>
      <c r="U142" s="58"/>
      <c r="V142" s="58">
        <f t="shared" si="52"/>
        <v>0.5265</v>
      </c>
      <c r="W142" s="88">
        <f>D142*1490000*2</f>
        <v>18397030</v>
      </c>
      <c r="X142" s="473" t="s">
        <v>302</v>
      </c>
    </row>
    <row r="143" spans="1:24" s="63" customFormat="1" ht="12.75">
      <c r="A143" s="60">
        <v>31</v>
      </c>
      <c r="B143" s="474" t="s">
        <v>313</v>
      </c>
      <c r="C143" s="58"/>
      <c r="D143" s="58">
        <f>E143+F143+V143</f>
        <v>17.198999999999998</v>
      </c>
      <c r="E143" s="58">
        <f>2.34*6</f>
        <v>14.04</v>
      </c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>
        <f>(E143+H143)*22.5%</f>
        <v>3.159</v>
      </c>
      <c r="W143" s="88">
        <f>D143*1490000*12</f>
        <v>307518119.99999994</v>
      </c>
      <c r="X143" s="473"/>
    </row>
    <row r="144" spans="1:24" s="63" customFormat="1" ht="13.5">
      <c r="A144" s="60"/>
      <c r="B144" s="476" t="s">
        <v>307</v>
      </c>
      <c r="C144" s="57">
        <f>SUM(C146:C148)</f>
        <v>0</v>
      </c>
      <c r="D144" s="57">
        <f aca="true" t="shared" si="57" ref="D144:X144">SUM(D146:D148)</f>
        <v>0</v>
      </c>
      <c r="E144" s="57">
        <f t="shared" si="57"/>
        <v>0</v>
      </c>
      <c r="F144" s="57">
        <f t="shared" si="57"/>
        <v>0</v>
      </c>
      <c r="G144" s="57">
        <f t="shared" si="57"/>
        <v>0</v>
      </c>
      <c r="H144" s="57">
        <f t="shared" si="57"/>
        <v>0</v>
      </c>
      <c r="I144" s="57">
        <f t="shared" si="57"/>
        <v>0</v>
      </c>
      <c r="J144" s="57">
        <f t="shared" si="57"/>
        <v>0</v>
      </c>
      <c r="K144" s="57">
        <f t="shared" si="57"/>
        <v>0</v>
      </c>
      <c r="L144" s="57">
        <f t="shared" si="57"/>
        <v>0</v>
      </c>
      <c r="M144" s="57">
        <f t="shared" si="57"/>
        <v>0</v>
      </c>
      <c r="N144" s="57">
        <f t="shared" si="57"/>
        <v>0</v>
      </c>
      <c r="O144" s="57">
        <f t="shared" si="57"/>
        <v>0</v>
      </c>
      <c r="P144" s="57">
        <f t="shared" si="57"/>
        <v>0</v>
      </c>
      <c r="Q144" s="57">
        <f t="shared" si="57"/>
        <v>0</v>
      </c>
      <c r="R144" s="57">
        <f t="shared" si="57"/>
        <v>0</v>
      </c>
      <c r="S144" s="57">
        <f t="shared" si="57"/>
        <v>0</v>
      </c>
      <c r="T144" s="57">
        <f t="shared" si="57"/>
        <v>0</v>
      </c>
      <c r="U144" s="57">
        <f t="shared" si="57"/>
        <v>0</v>
      </c>
      <c r="V144" s="57">
        <f t="shared" si="57"/>
        <v>0</v>
      </c>
      <c r="W144" s="57">
        <f>SUM(W145:W148)</f>
        <v>416442000</v>
      </c>
      <c r="X144" s="57">
        <f t="shared" si="57"/>
        <v>0</v>
      </c>
    </row>
    <row r="145" spans="1:24" s="63" customFormat="1" ht="12.75">
      <c r="A145" s="60">
        <v>31</v>
      </c>
      <c r="B145" s="474" t="s">
        <v>303</v>
      </c>
      <c r="C145" s="58"/>
      <c r="D145" s="58"/>
      <c r="E145" s="58"/>
      <c r="F145" s="58"/>
      <c r="G145" s="58"/>
      <c r="H145" s="58"/>
      <c r="I145" s="58"/>
      <c r="J145" s="58">
        <f>(E145+H145)*50%</f>
        <v>0</v>
      </c>
      <c r="K145" s="58"/>
      <c r="L145" s="58"/>
      <c r="M145" s="58"/>
      <c r="N145" s="58">
        <f>(E145+H145)*0.25</f>
        <v>0</v>
      </c>
      <c r="O145" s="58"/>
      <c r="P145" s="58"/>
      <c r="Q145" s="58"/>
      <c r="R145" s="58"/>
      <c r="S145" s="58"/>
      <c r="T145" s="58"/>
      <c r="U145" s="58"/>
      <c r="V145" s="58">
        <f>(E145+H145)*22.5%</f>
        <v>0</v>
      </c>
      <c r="W145" s="88">
        <f>(9300000+9300000*23.5%)*12</f>
        <v>137826000</v>
      </c>
      <c r="X145" s="473"/>
    </row>
    <row r="146" spans="1:24" s="63" customFormat="1" ht="12.75">
      <c r="A146" s="60">
        <v>32</v>
      </c>
      <c r="B146" s="474" t="s">
        <v>304</v>
      </c>
      <c r="C146" s="58"/>
      <c r="D146" s="58"/>
      <c r="E146" s="58"/>
      <c r="F146" s="58"/>
      <c r="G146" s="58"/>
      <c r="H146" s="58"/>
      <c r="I146" s="58"/>
      <c r="J146" s="58">
        <f t="shared" si="50"/>
        <v>0</v>
      </c>
      <c r="K146" s="58"/>
      <c r="L146" s="58"/>
      <c r="M146" s="58"/>
      <c r="N146" s="58">
        <f t="shared" si="51"/>
        <v>0</v>
      </c>
      <c r="O146" s="58"/>
      <c r="P146" s="58"/>
      <c r="Q146" s="58"/>
      <c r="R146" s="58"/>
      <c r="S146" s="58"/>
      <c r="T146" s="58"/>
      <c r="U146" s="58"/>
      <c r="V146" s="58">
        <f t="shared" si="52"/>
        <v>0</v>
      </c>
      <c r="W146" s="88">
        <f>(7700000+7700000*23.5%)*12</f>
        <v>114114000</v>
      </c>
      <c r="X146" s="473"/>
    </row>
    <row r="147" spans="1:24" s="63" customFormat="1" ht="12.75">
      <c r="A147" s="60">
        <v>33</v>
      </c>
      <c r="B147" s="474" t="s">
        <v>305</v>
      </c>
      <c r="C147" s="58"/>
      <c r="D147" s="58"/>
      <c r="E147" s="58"/>
      <c r="F147" s="58"/>
      <c r="G147" s="58"/>
      <c r="H147" s="58"/>
      <c r="I147" s="58"/>
      <c r="J147" s="58">
        <f t="shared" si="50"/>
        <v>0</v>
      </c>
      <c r="K147" s="58"/>
      <c r="L147" s="58"/>
      <c r="M147" s="58"/>
      <c r="N147" s="58">
        <f t="shared" si="51"/>
        <v>0</v>
      </c>
      <c r="O147" s="58"/>
      <c r="P147" s="58"/>
      <c r="Q147" s="58"/>
      <c r="R147" s="58"/>
      <c r="S147" s="58"/>
      <c r="T147" s="58"/>
      <c r="U147" s="58"/>
      <c r="V147" s="58">
        <f t="shared" si="52"/>
        <v>0</v>
      </c>
      <c r="W147" s="88">
        <f>(6100000+6100000*23.5%)*12</f>
        <v>90402000</v>
      </c>
      <c r="X147" s="473"/>
    </row>
    <row r="148" spans="1:24" s="63" customFormat="1" ht="12.75">
      <c r="A148" s="60">
        <v>34</v>
      </c>
      <c r="B148" s="474" t="s">
        <v>306</v>
      </c>
      <c r="C148" s="58"/>
      <c r="D148" s="58"/>
      <c r="E148" s="58"/>
      <c r="F148" s="58"/>
      <c r="G148" s="58"/>
      <c r="H148" s="58"/>
      <c r="I148" s="58"/>
      <c r="J148" s="58">
        <f t="shared" si="50"/>
        <v>0</v>
      </c>
      <c r="K148" s="58"/>
      <c r="L148" s="58"/>
      <c r="M148" s="58"/>
      <c r="N148" s="58">
        <f t="shared" si="51"/>
        <v>0</v>
      </c>
      <c r="O148" s="58"/>
      <c r="P148" s="58"/>
      <c r="Q148" s="58"/>
      <c r="R148" s="58"/>
      <c r="S148" s="58"/>
      <c r="T148" s="58"/>
      <c r="U148" s="58"/>
      <c r="V148" s="58">
        <f t="shared" si="52"/>
        <v>0</v>
      </c>
      <c r="W148" s="88">
        <f>(5000000+5000000*23.5%)*12</f>
        <v>74100000</v>
      </c>
      <c r="X148" s="473"/>
    </row>
    <row r="149" spans="1:24" s="51" customFormat="1" ht="25.5" customHeight="1">
      <c r="A149" s="229" t="s">
        <v>284</v>
      </c>
      <c r="B149" s="12" t="s">
        <v>279</v>
      </c>
      <c r="C149" s="196">
        <v>4</v>
      </c>
      <c r="D149" s="196">
        <f>SUM(D150:D153)</f>
        <v>38.747749999999996</v>
      </c>
      <c r="E149" s="196">
        <f aca="true" t="shared" si="58" ref="E149:V149">SUM(E150:E153)</f>
        <v>15.42</v>
      </c>
      <c r="F149" s="196">
        <f t="shared" si="58"/>
        <v>19.6445</v>
      </c>
      <c r="G149" s="196">
        <f t="shared" si="58"/>
        <v>2.0999999999999996</v>
      </c>
      <c r="H149" s="196">
        <f t="shared" si="58"/>
        <v>0.9500000000000001</v>
      </c>
      <c r="I149" s="196">
        <f t="shared" si="58"/>
        <v>0</v>
      </c>
      <c r="J149" s="196">
        <f t="shared" si="58"/>
        <v>7.015000000000001</v>
      </c>
      <c r="K149" s="196">
        <f t="shared" si="58"/>
        <v>0</v>
      </c>
      <c r="L149" s="196">
        <f t="shared" si="58"/>
        <v>0</v>
      </c>
      <c r="M149" s="196">
        <f t="shared" si="58"/>
        <v>0</v>
      </c>
      <c r="N149" s="196">
        <f t="shared" si="58"/>
        <v>3.5075000000000003</v>
      </c>
      <c r="O149" s="196">
        <f t="shared" si="58"/>
        <v>0</v>
      </c>
      <c r="P149" s="196">
        <f t="shared" si="58"/>
        <v>0</v>
      </c>
      <c r="Q149" s="196">
        <f t="shared" si="58"/>
        <v>0</v>
      </c>
      <c r="R149" s="196">
        <f t="shared" si="58"/>
        <v>0</v>
      </c>
      <c r="S149" s="196">
        <f t="shared" si="58"/>
        <v>4.209</v>
      </c>
      <c r="T149" s="196">
        <f t="shared" si="58"/>
        <v>1.4030000000000002</v>
      </c>
      <c r="U149" s="196">
        <f t="shared" si="58"/>
        <v>0.45999999999999996</v>
      </c>
      <c r="V149" s="196">
        <f t="shared" si="58"/>
        <v>3.68325</v>
      </c>
      <c r="W149" s="197">
        <f>SUM(W150:W154)</f>
        <v>696700160</v>
      </c>
      <c r="X149" s="196"/>
    </row>
    <row r="150" spans="1:29" s="141" customFormat="1" ht="29.25" customHeight="1">
      <c r="A150" s="100" t="s">
        <v>276</v>
      </c>
      <c r="B150" s="198" t="s">
        <v>277</v>
      </c>
      <c r="C150" s="75"/>
      <c r="D150" s="102">
        <f>E150+F150+V150</f>
        <v>16.044999999999998</v>
      </c>
      <c r="E150" s="199">
        <v>5.76</v>
      </c>
      <c r="F150" s="102">
        <f>SUM(G150:U150)</f>
        <v>8.854</v>
      </c>
      <c r="G150" s="102">
        <v>0.7</v>
      </c>
      <c r="H150" s="200">
        <v>0.6</v>
      </c>
      <c r="I150" s="102"/>
      <c r="J150" s="102">
        <f>(E150+H150)*50%</f>
        <v>3.1799999999999997</v>
      </c>
      <c r="K150" s="102"/>
      <c r="L150" s="102"/>
      <c r="M150" s="102"/>
      <c r="N150" s="102">
        <f>(E150+H150)*25%</f>
        <v>1.5899999999999999</v>
      </c>
      <c r="O150" s="102"/>
      <c r="P150" s="102"/>
      <c r="Q150" s="102"/>
      <c r="R150" s="102"/>
      <c r="S150" s="102">
        <f>(E150+H150)*30%</f>
        <v>1.9079999999999997</v>
      </c>
      <c r="T150" s="102">
        <f>(E150+H150)*10%</f>
        <v>0.636</v>
      </c>
      <c r="U150" s="102">
        <v>0.24</v>
      </c>
      <c r="V150" s="102">
        <f>(E150+H150)*22.5%</f>
        <v>1.4309999999999998</v>
      </c>
      <c r="W150" s="103">
        <f>D150*12*1490000</f>
        <v>286884599.99999994</v>
      </c>
      <c r="X150" s="102"/>
      <c r="Y150" s="594"/>
      <c r="Z150" s="595"/>
      <c r="AA150" s="595"/>
      <c r="AB150" s="595"/>
      <c r="AC150" s="595"/>
    </row>
    <row r="151" spans="1:24" s="141" customFormat="1" ht="29.25" customHeight="1">
      <c r="A151" s="100" t="s">
        <v>193</v>
      </c>
      <c r="B151" s="198" t="s">
        <v>78</v>
      </c>
      <c r="C151" s="104"/>
      <c r="D151" s="102">
        <f>E151+F151+V151</f>
        <v>9.08375</v>
      </c>
      <c r="E151" s="199">
        <v>3.33</v>
      </c>
      <c r="F151" s="102">
        <f>SUM(G151:U151)</f>
        <v>4.9595</v>
      </c>
      <c r="G151" s="102">
        <v>0.7</v>
      </c>
      <c r="H151" s="200">
        <v>0.2</v>
      </c>
      <c r="I151" s="105"/>
      <c r="J151" s="102">
        <f>(E151+H151)*50%</f>
        <v>1.7650000000000001</v>
      </c>
      <c r="K151" s="105"/>
      <c r="L151" s="105"/>
      <c r="M151" s="105"/>
      <c r="N151" s="102">
        <f>(E151+H151)*25%</f>
        <v>0.8825000000000001</v>
      </c>
      <c r="O151" s="105"/>
      <c r="P151" s="105"/>
      <c r="Q151" s="105"/>
      <c r="R151" s="105"/>
      <c r="S151" s="102">
        <f>(E151+H151)*30%</f>
        <v>1.059</v>
      </c>
      <c r="T151" s="102">
        <f>(E151+H151)*10%</f>
        <v>0.35300000000000004</v>
      </c>
      <c r="U151" s="105"/>
      <c r="V151" s="102">
        <f>(E151+H151)*22.5%</f>
        <v>0.7942500000000001</v>
      </c>
      <c r="W151" s="103">
        <f>D151*12*1490000</f>
        <v>162417450</v>
      </c>
      <c r="X151" s="106"/>
    </row>
    <row r="152" spans="1:24" s="141" customFormat="1" ht="29.25" customHeight="1">
      <c r="A152" s="100" t="s">
        <v>192</v>
      </c>
      <c r="B152" s="201" t="s">
        <v>76</v>
      </c>
      <c r="C152" s="75"/>
      <c r="D152" s="102">
        <f>E152+F152+V152</f>
        <v>10.752500000000001</v>
      </c>
      <c r="E152" s="202">
        <v>3.99</v>
      </c>
      <c r="F152" s="102">
        <f>SUM(G152:U152)</f>
        <v>5.831</v>
      </c>
      <c r="G152" s="102">
        <v>0.7</v>
      </c>
      <c r="H152" s="203">
        <v>0.15</v>
      </c>
      <c r="I152" s="75"/>
      <c r="J152" s="102">
        <f>(E152+H152)*50%</f>
        <v>2.0700000000000003</v>
      </c>
      <c r="K152" s="75"/>
      <c r="L152" s="75"/>
      <c r="M152" s="75"/>
      <c r="N152" s="102">
        <f>(E152+H152)*25%</f>
        <v>1.0350000000000001</v>
      </c>
      <c r="O152" s="75"/>
      <c r="P152" s="75"/>
      <c r="Q152" s="75"/>
      <c r="R152" s="75"/>
      <c r="S152" s="102">
        <f>(E152+H152)*30%</f>
        <v>1.2420000000000002</v>
      </c>
      <c r="T152" s="102">
        <f>(E152+H152)*10%</f>
        <v>0.4140000000000001</v>
      </c>
      <c r="U152" s="75">
        <v>0.22</v>
      </c>
      <c r="V152" s="102">
        <f>(E152+H152)*22.5%</f>
        <v>0.9315000000000001</v>
      </c>
      <c r="W152" s="103">
        <f>D152*12*1490000</f>
        <v>192254700.00000003</v>
      </c>
      <c r="X152" s="106"/>
    </row>
    <row r="153" spans="1:24" s="141" customFormat="1" ht="29.25" customHeight="1">
      <c r="A153" s="100" t="s">
        <v>191</v>
      </c>
      <c r="B153" s="101" t="s">
        <v>278</v>
      </c>
      <c r="C153" s="75"/>
      <c r="D153" s="102">
        <f>E153+F153+V153</f>
        <v>2.8665</v>
      </c>
      <c r="E153" s="102">
        <v>2.34</v>
      </c>
      <c r="F153" s="102">
        <f>SUM(G153:U153)</f>
        <v>0</v>
      </c>
      <c r="G153" s="102">
        <v>0</v>
      </c>
      <c r="H153" s="75">
        <v>0</v>
      </c>
      <c r="I153" s="75"/>
      <c r="J153" s="102"/>
      <c r="K153" s="75"/>
      <c r="L153" s="75"/>
      <c r="M153" s="75"/>
      <c r="N153" s="102"/>
      <c r="O153" s="75"/>
      <c r="P153" s="75"/>
      <c r="Q153" s="75"/>
      <c r="R153" s="75"/>
      <c r="S153" s="102"/>
      <c r="T153" s="75"/>
      <c r="U153" s="75"/>
      <c r="V153" s="102">
        <f>(E153+H153)*22.5%</f>
        <v>0.5265</v>
      </c>
      <c r="W153" s="103">
        <f>D153*11*1490000</f>
        <v>46981935</v>
      </c>
      <c r="X153" s="106"/>
    </row>
    <row r="154" spans="1:24" s="142" customFormat="1" ht="29.25" customHeight="1">
      <c r="A154" s="100">
        <v>5</v>
      </c>
      <c r="B154" s="101" t="s">
        <v>77</v>
      </c>
      <c r="C154" s="75"/>
      <c r="D154" s="102">
        <f>E154+F154+V154</f>
        <v>5.4775</v>
      </c>
      <c r="E154" s="102">
        <v>2.1</v>
      </c>
      <c r="F154" s="102">
        <f>SUM(G154:U154)</f>
        <v>2.905</v>
      </c>
      <c r="G154" s="102">
        <v>0.7</v>
      </c>
      <c r="H154" s="75"/>
      <c r="I154" s="75"/>
      <c r="J154" s="102">
        <f>(E154+H154)*50%</f>
        <v>1.05</v>
      </c>
      <c r="K154" s="75"/>
      <c r="L154" s="75"/>
      <c r="M154" s="75"/>
      <c r="N154" s="102">
        <f>(E154+H154)*25%</f>
        <v>0.525</v>
      </c>
      <c r="O154" s="75"/>
      <c r="P154" s="75"/>
      <c r="Q154" s="75"/>
      <c r="R154" s="75"/>
      <c r="S154" s="102">
        <f>(E154+H154)*30%</f>
        <v>0.63</v>
      </c>
      <c r="T154" s="75"/>
      <c r="U154" s="75"/>
      <c r="V154" s="102">
        <f>(E154+H154)*22.5%</f>
        <v>0.47250000000000003</v>
      </c>
      <c r="W154" s="103">
        <f>D154*1*1490000</f>
        <v>8161475</v>
      </c>
      <c r="X154" s="106"/>
    </row>
    <row r="155" spans="1:24" s="51" customFormat="1" ht="29.25" customHeight="1">
      <c r="A155" s="237" t="s">
        <v>285</v>
      </c>
      <c r="B155" s="206" t="s">
        <v>4</v>
      </c>
      <c r="C155" s="95">
        <v>2</v>
      </c>
      <c r="D155" s="207">
        <f>SUM(D156:D157)</f>
        <v>14.077</v>
      </c>
      <c r="E155" s="207">
        <f>SUM(E156:E157)</f>
        <v>6.66</v>
      </c>
      <c r="F155" s="207">
        <f aca="true" t="shared" si="59" ref="F155:V155">SUM(F156:F157)</f>
        <v>5.851</v>
      </c>
      <c r="G155" s="207">
        <f t="shared" si="59"/>
        <v>0.7</v>
      </c>
      <c r="H155" s="207">
        <f t="shared" si="59"/>
        <v>0.3</v>
      </c>
      <c r="I155" s="207">
        <f t="shared" si="59"/>
        <v>0</v>
      </c>
      <c r="J155" s="207">
        <f t="shared" si="59"/>
        <v>2.31</v>
      </c>
      <c r="K155" s="207">
        <f t="shared" si="59"/>
        <v>0</v>
      </c>
      <c r="L155" s="207">
        <f t="shared" si="59"/>
        <v>0</v>
      </c>
      <c r="M155" s="207">
        <f t="shared" si="59"/>
        <v>0</v>
      </c>
      <c r="N155" s="207">
        <f aca="true" t="shared" si="60" ref="N155:S155">SUM(N156:N157)</f>
        <v>1.155</v>
      </c>
      <c r="O155" s="207">
        <f t="shared" si="60"/>
        <v>0</v>
      </c>
      <c r="P155" s="207">
        <f t="shared" si="60"/>
        <v>0</v>
      </c>
      <c r="Q155" s="207">
        <f t="shared" si="60"/>
        <v>0</v>
      </c>
      <c r="R155" s="207">
        <f t="shared" si="60"/>
        <v>0</v>
      </c>
      <c r="S155" s="207">
        <f t="shared" si="60"/>
        <v>1.386</v>
      </c>
      <c r="T155" s="207">
        <f t="shared" si="59"/>
        <v>0</v>
      </c>
      <c r="U155" s="207">
        <f t="shared" si="59"/>
        <v>0</v>
      </c>
      <c r="V155" s="207">
        <f t="shared" si="59"/>
        <v>1.566</v>
      </c>
      <c r="W155" s="207">
        <f>SUM(W156:W157)</f>
        <v>251696760.00000003</v>
      </c>
      <c r="X155" s="208"/>
    </row>
    <row r="156" spans="1:29" s="142" customFormat="1" ht="29.25" customHeight="1">
      <c r="A156" s="100" t="s">
        <v>276</v>
      </c>
      <c r="B156" s="204" t="s">
        <v>30</v>
      </c>
      <c r="C156" s="75"/>
      <c r="D156" s="102">
        <f>E156+F156+V156</f>
        <v>11.2105</v>
      </c>
      <c r="E156" s="205">
        <v>4.32</v>
      </c>
      <c r="F156" s="102">
        <f>SUM(G156:U156)</f>
        <v>5.851</v>
      </c>
      <c r="G156" s="102">
        <v>0.7</v>
      </c>
      <c r="H156" s="200">
        <v>0.3</v>
      </c>
      <c r="I156" s="102"/>
      <c r="J156" s="102">
        <f>(E156+H156)*50%</f>
        <v>2.31</v>
      </c>
      <c r="K156" s="102"/>
      <c r="L156" s="102"/>
      <c r="M156" s="102"/>
      <c r="N156" s="102">
        <f>(E156+H156)*25%</f>
        <v>1.155</v>
      </c>
      <c r="O156" s="102"/>
      <c r="P156" s="102"/>
      <c r="Q156" s="102"/>
      <c r="R156" s="102"/>
      <c r="S156" s="102">
        <f>(E156+H156)*30%</f>
        <v>1.386</v>
      </c>
      <c r="T156" s="102"/>
      <c r="U156" s="102"/>
      <c r="V156" s="102">
        <f>(E156+H156)*22.5%</f>
        <v>1.0395</v>
      </c>
      <c r="W156" s="103">
        <f>D156*12*1490000</f>
        <v>200443740.00000003</v>
      </c>
      <c r="X156" s="102"/>
      <c r="Y156" s="594"/>
      <c r="Z156" s="595"/>
      <c r="AA156" s="595"/>
      <c r="AB156" s="595"/>
      <c r="AC156" s="595"/>
    </row>
    <row r="157" spans="1:24" s="142" customFormat="1" ht="29.25" customHeight="1">
      <c r="A157" s="100">
        <v>2</v>
      </c>
      <c r="B157" s="101" t="s">
        <v>278</v>
      </c>
      <c r="C157" s="75"/>
      <c r="D157" s="102">
        <f>E157+F157+V157</f>
        <v>2.8665</v>
      </c>
      <c r="E157" s="102">
        <v>2.34</v>
      </c>
      <c r="F157" s="102">
        <f>SUM(G157:U157)</f>
        <v>0</v>
      </c>
      <c r="G157" s="102">
        <v>0</v>
      </c>
      <c r="H157" s="75">
        <v>0</v>
      </c>
      <c r="I157" s="75"/>
      <c r="J157" s="102">
        <v>0</v>
      </c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102">
        <f>(E157+H157)*22.5%</f>
        <v>0.5265</v>
      </c>
      <c r="W157" s="103">
        <f>D157*12*1490000</f>
        <v>51253019.99999999</v>
      </c>
      <c r="X157" s="106"/>
    </row>
    <row r="158" spans="1:24" s="30" customFormat="1" ht="29.25" customHeight="1">
      <c r="A158" s="192" t="s">
        <v>286</v>
      </c>
      <c r="B158" s="193" t="s">
        <v>281</v>
      </c>
      <c r="C158" s="194">
        <v>2</v>
      </c>
      <c r="D158" s="194">
        <f aca="true" t="shared" si="61" ref="D158:U158">SUM(D159:D161)</f>
        <v>25.82825</v>
      </c>
      <c r="E158" s="194">
        <f t="shared" si="61"/>
        <v>9.629999999999999</v>
      </c>
      <c r="F158" s="194">
        <f t="shared" si="61"/>
        <v>13.8515</v>
      </c>
      <c r="G158" s="194">
        <f t="shared" si="61"/>
        <v>2.0999999999999996</v>
      </c>
      <c r="H158" s="194">
        <f t="shared" si="61"/>
        <v>0.8</v>
      </c>
      <c r="I158" s="194">
        <f t="shared" si="61"/>
        <v>0</v>
      </c>
      <c r="J158" s="194">
        <f t="shared" si="61"/>
        <v>5.215</v>
      </c>
      <c r="K158" s="194">
        <f t="shared" si="61"/>
        <v>0</v>
      </c>
      <c r="L158" s="194">
        <f t="shared" si="61"/>
        <v>0</v>
      </c>
      <c r="M158" s="194">
        <f t="shared" si="61"/>
        <v>0</v>
      </c>
      <c r="N158" s="194">
        <f t="shared" si="61"/>
        <v>2.6075</v>
      </c>
      <c r="O158" s="194">
        <f t="shared" si="61"/>
        <v>0</v>
      </c>
      <c r="P158" s="194">
        <f t="shared" si="61"/>
        <v>0</v>
      </c>
      <c r="Q158" s="194">
        <f t="shared" si="61"/>
        <v>0</v>
      </c>
      <c r="R158" s="194">
        <f t="shared" si="61"/>
        <v>0</v>
      </c>
      <c r="S158" s="194">
        <f t="shared" si="61"/>
        <v>3.1289999999999996</v>
      </c>
      <c r="T158" s="194">
        <f t="shared" si="61"/>
        <v>0</v>
      </c>
      <c r="U158" s="194">
        <f t="shared" si="61"/>
        <v>0</v>
      </c>
      <c r="V158" s="230">
        <f>SUM(V159:V161)</f>
        <v>2.34675</v>
      </c>
      <c r="W158" s="230">
        <f>SUM(W159:W161)</f>
        <v>289127422.5</v>
      </c>
      <c r="X158" s="221"/>
    </row>
    <row r="159" spans="1:29" s="216" customFormat="1" ht="15.75">
      <c r="A159" s="209" t="s">
        <v>276</v>
      </c>
      <c r="B159" s="210" t="s">
        <v>31</v>
      </c>
      <c r="C159" s="211"/>
      <c r="D159" s="212">
        <f>E159+F159+V159</f>
        <v>7.4567499999999995</v>
      </c>
      <c r="E159" s="213">
        <v>2.67</v>
      </c>
      <c r="F159" s="212">
        <f>SUM(G159:U159)</f>
        <v>4.1185</v>
      </c>
      <c r="G159" s="212">
        <v>0.7</v>
      </c>
      <c r="H159" s="214">
        <v>0.3</v>
      </c>
      <c r="I159" s="212"/>
      <c r="J159" s="212">
        <f>(E159+H159)*50%</f>
        <v>1.4849999999999999</v>
      </c>
      <c r="K159" s="212"/>
      <c r="L159" s="212"/>
      <c r="M159" s="212"/>
      <c r="N159" s="212">
        <f>(E159+H159)*25%</f>
        <v>0.7424999999999999</v>
      </c>
      <c r="O159" s="212"/>
      <c r="P159" s="212"/>
      <c r="Q159" s="212"/>
      <c r="R159" s="212"/>
      <c r="S159" s="212">
        <f>(E159+H159)*30%</f>
        <v>0.8909999999999999</v>
      </c>
      <c r="T159" s="212"/>
      <c r="U159" s="212"/>
      <c r="V159" s="212">
        <f>(E159+H159)*22.5%</f>
        <v>0.66825</v>
      </c>
      <c r="W159" s="215">
        <f>D159*9*1490000</f>
        <v>99995017.5</v>
      </c>
      <c r="X159" s="212"/>
      <c r="Y159" s="596"/>
      <c r="Z159" s="597"/>
      <c r="AA159" s="597"/>
      <c r="AB159" s="597"/>
      <c r="AC159" s="597"/>
    </row>
    <row r="160" spans="1:25" s="216" customFormat="1" ht="15.75">
      <c r="A160" s="209"/>
      <c r="B160" s="210" t="s">
        <v>25</v>
      </c>
      <c r="C160" s="211"/>
      <c r="D160" s="212">
        <f>E160+F160+V160</f>
        <v>10.3915</v>
      </c>
      <c r="E160" s="213">
        <v>3.96</v>
      </c>
      <c r="F160" s="212">
        <f>SUM(G160:U160)</f>
        <v>5.473</v>
      </c>
      <c r="G160" s="212">
        <v>0.7</v>
      </c>
      <c r="H160" s="214">
        <v>0.3</v>
      </c>
      <c r="I160" s="212"/>
      <c r="J160" s="212">
        <f>(E160+H160)*50%</f>
        <v>2.13</v>
      </c>
      <c r="K160" s="212"/>
      <c r="L160" s="212"/>
      <c r="M160" s="212"/>
      <c r="N160" s="212">
        <f>(E160+H160)*25%</f>
        <v>1.065</v>
      </c>
      <c r="O160" s="212"/>
      <c r="P160" s="212"/>
      <c r="Q160" s="212"/>
      <c r="R160" s="212"/>
      <c r="S160" s="212">
        <f>(E160+H160)*30%</f>
        <v>1.2779999999999998</v>
      </c>
      <c r="T160" s="212"/>
      <c r="U160" s="212"/>
      <c r="V160" s="212">
        <f>(E160+H160)*22.5%</f>
        <v>0.9585</v>
      </c>
      <c r="W160" s="215">
        <f>D160*1490000*3</f>
        <v>46450005</v>
      </c>
      <c r="X160" s="212"/>
      <c r="Y160" s="228"/>
    </row>
    <row r="161" spans="1:24" s="216" customFormat="1" ht="15.75">
      <c r="A161" s="209" t="s">
        <v>193</v>
      </c>
      <c r="B161" s="210" t="s">
        <v>280</v>
      </c>
      <c r="C161" s="217"/>
      <c r="D161" s="212">
        <f>E161+F161+V161</f>
        <v>7.9799999999999995</v>
      </c>
      <c r="E161" s="213">
        <v>3</v>
      </c>
      <c r="F161" s="212">
        <f>SUM(G161:U161)</f>
        <v>4.26</v>
      </c>
      <c r="G161" s="212">
        <v>0.7</v>
      </c>
      <c r="H161" s="214">
        <v>0.2</v>
      </c>
      <c r="I161" s="218"/>
      <c r="J161" s="212">
        <f>(E161+H161)*50%</f>
        <v>1.6</v>
      </c>
      <c r="K161" s="218"/>
      <c r="L161" s="218"/>
      <c r="M161" s="218"/>
      <c r="N161" s="212">
        <f>(E161+H161)*25%</f>
        <v>0.8</v>
      </c>
      <c r="O161" s="218"/>
      <c r="P161" s="218"/>
      <c r="Q161" s="218"/>
      <c r="R161" s="218"/>
      <c r="S161" s="212">
        <f>(E161+H161)*30%</f>
        <v>0.96</v>
      </c>
      <c r="T161" s="212"/>
      <c r="U161" s="218"/>
      <c r="V161" s="212">
        <f>(E161+H161)*22.5%</f>
        <v>0.7200000000000001</v>
      </c>
      <c r="W161" s="215">
        <f>D161*12*1490000</f>
        <v>142682400</v>
      </c>
      <c r="X161" s="219"/>
    </row>
    <row r="162" spans="1:24" s="30" customFormat="1" ht="29.25" customHeight="1">
      <c r="A162" s="192" t="s">
        <v>287</v>
      </c>
      <c r="B162" s="193" t="s">
        <v>65</v>
      </c>
      <c r="C162" s="220">
        <v>1</v>
      </c>
      <c r="D162" s="194">
        <f>D163</f>
        <v>8.958250000000001</v>
      </c>
      <c r="E162" s="194">
        <f aca="true" t="shared" si="62" ref="E162:V162">E163</f>
        <v>3.33</v>
      </c>
      <c r="F162" s="194">
        <f t="shared" si="62"/>
        <v>4.8115000000000006</v>
      </c>
      <c r="G162" s="194">
        <f t="shared" si="62"/>
        <v>0.7</v>
      </c>
      <c r="H162" s="194">
        <f t="shared" si="62"/>
        <v>0.3</v>
      </c>
      <c r="I162" s="194">
        <f t="shared" si="62"/>
        <v>0</v>
      </c>
      <c r="J162" s="194">
        <f t="shared" si="62"/>
        <v>1.815</v>
      </c>
      <c r="K162" s="194">
        <f t="shared" si="62"/>
        <v>0</v>
      </c>
      <c r="L162" s="194">
        <f t="shared" si="62"/>
        <v>0</v>
      </c>
      <c r="M162" s="194">
        <f t="shared" si="62"/>
        <v>0</v>
      </c>
      <c r="N162" s="194">
        <f t="shared" si="62"/>
        <v>0.9075</v>
      </c>
      <c r="O162" s="194">
        <f t="shared" si="62"/>
        <v>0</v>
      </c>
      <c r="P162" s="194">
        <f t="shared" si="62"/>
        <v>0</v>
      </c>
      <c r="Q162" s="194">
        <f t="shared" si="62"/>
        <v>0</v>
      </c>
      <c r="R162" s="194">
        <f t="shared" si="62"/>
        <v>0</v>
      </c>
      <c r="S162" s="194">
        <f t="shared" si="62"/>
        <v>1.089</v>
      </c>
      <c r="T162" s="194">
        <f t="shared" si="62"/>
        <v>0</v>
      </c>
      <c r="U162" s="194">
        <f t="shared" si="62"/>
        <v>0</v>
      </c>
      <c r="V162" s="194">
        <f t="shared" si="62"/>
        <v>0.81675</v>
      </c>
      <c r="W162" s="194">
        <f>W163</f>
        <v>160173510.00000003</v>
      </c>
      <c r="X162" s="221"/>
    </row>
    <row r="163" spans="1:29" s="142" customFormat="1" ht="12.75">
      <c r="A163" s="100" t="s">
        <v>276</v>
      </c>
      <c r="B163" s="201" t="s">
        <v>64</v>
      </c>
      <c r="C163" s="75"/>
      <c r="D163" s="102">
        <f>E163+F163+V163</f>
        <v>8.958250000000001</v>
      </c>
      <c r="E163" s="199">
        <v>3.33</v>
      </c>
      <c r="F163" s="102">
        <f>SUM(G163:U163)</f>
        <v>4.8115000000000006</v>
      </c>
      <c r="G163" s="102">
        <v>0.7</v>
      </c>
      <c r="H163" s="200">
        <v>0.3</v>
      </c>
      <c r="I163" s="102"/>
      <c r="J163" s="102">
        <f>(E163+H163)*50%</f>
        <v>1.815</v>
      </c>
      <c r="K163" s="102"/>
      <c r="L163" s="102"/>
      <c r="M163" s="102"/>
      <c r="N163" s="102">
        <f>(E163+H163)*25%</f>
        <v>0.9075</v>
      </c>
      <c r="O163" s="102"/>
      <c r="P163" s="102"/>
      <c r="Q163" s="102"/>
      <c r="R163" s="102"/>
      <c r="S163" s="102">
        <f>(E163+H163)*30%</f>
        <v>1.089</v>
      </c>
      <c r="T163" s="102"/>
      <c r="U163" s="102"/>
      <c r="V163" s="102">
        <f>(E163+H163)*22.5%</f>
        <v>0.81675</v>
      </c>
      <c r="W163" s="103">
        <f>D163*12*1490000</f>
        <v>160173510.00000003</v>
      </c>
      <c r="X163" s="102"/>
      <c r="Y163" s="594"/>
      <c r="Z163" s="595"/>
      <c r="AA163" s="595"/>
      <c r="AB163" s="595"/>
      <c r="AC163" s="595"/>
    </row>
    <row r="164" spans="1:24" s="30" customFormat="1" ht="29.25" customHeight="1">
      <c r="A164" s="192" t="s">
        <v>288</v>
      </c>
      <c r="B164" s="193" t="s">
        <v>68</v>
      </c>
      <c r="C164" s="220">
        <v>3</v>
      </c>
      <c r="D164" s="194">
        <f>SUM(D165:D169)</f>
        <v>29.053499999999996</v>
      </c>
      <c r="E164" s="194">
        <f aca="true" t="shared" si="63" ref="E164:V164">SUM(E165:E169)</f>
        <v>12.12</v>
      </c>
      <c r="F164" s="194">
        <f t="shared" si="63"/>
        <v>14.094000000000001</v>
      </c>
      <c r="G164" s="194">
        <f t="shared" si="63"/>
        <v>2.8</v>
      </c>
      <c r="H164" s="194">
        <f t="shared" si="63"/>
        <v>0.5</v>
      </c>
      <c r="I164" s="194">
        <f t="shared" si="63"/>
        <v>0</v>
      </c>
      <c r="J164" s="194">
        <f t="shared" si="63"/>
        <v>5.140000000000001</v>
      </c>
      <c r="K164" s="194">
        <f t="shared" si="63"/>
        <v>0</v>
      </c>
      <c r="L164" s="194">
        <f t="shared" si="63"/>
        <v>0</v>
      </c>
      <c r="M164" s="194">
        <f t="shared" si="63"/>
        <v>0</v>
      </c>
      <c r="N164" s="194">
        <f t="shared" si="63"/>
        <v>2.5700000000000003</v>
      </c>
      <c r="O164" s="194">
        <f t="shared" si="63"/>
        <v>0</v>
      </c>
      <c r="P164" s="194">
        <f t="shared" si="63"/>
        <v>0</v>
      </c>
      <c r="Q164" s="194">
        <f t="shared" si="63"/>
        <v>0</v>
      </c>
      <c r="R164" s="194">
        <f t="shared" si="63"/>
        <v>0</v>
      </c>
      <c r="S164" s="194">
        <f t="shared" si="63"/>
        <v>3.0839999999999996</v>
      </c>
      <c r="T164" s="194">
        <f t="shared" si="63"/>
        <v>0</v>
      </c>
      <c r="U164" s="194">
        <f t="shared" si="63"/>
        <v>0</v>
      </c>
      <c r="V164" s="194">
        <f t="shared" si="63"/>
        <v>2.8395</v>
      </c>
      <c r="W164" s="194">
        <f>SUM(W165:W169)</f>
        <v>277662245</v>
      </c>
      <c r="X164" s="221"/>
    </row>
    <row r="165" spans="1:29" s="142" customFormat="1" ht="30.75" customHeight="1">
      <c r="A165" s="222" t="s">
        <v>276</v>
      </c>
      <c r="B165" s="223" t="s">
        <v>282</v>
      </c>
      <c r="C165" s="75"/>
      <c r="D165" s="102">
        <f>E165+F165+V165</f>
        <v>5.9325</v>
      </c>
      <c r="E165" s="224">
        <v>2.1</v>
      </c>
      <c r="F165" s="102">
        <f>SUM(G165:U165)</f>
        <v>3.315</v>
      </c>
      <c r="G165" s="102">
        <v>0.7</v>
      </c>
      <c r="H165" s="200">
        <v>0.2</v>
      </c>
      <c r="I165" s="102"/>
      <c r="J165" s="102">
        <f>(E165+H165)*50%</f>
        <v>1.1500000000000001</v>
      </c>
      <c r="K165" s="102"/>
      <c r="L165" s="102"/>
      <c r="M165" s="102"/>
      <c r="N165" s="102">
        <f>(E165+H165)*25%</f>
        <v>0.5750000000000001</v>
      </c>
      <c r="O165" s="102"/>
      <c r="P165" s="102"/>
      <c r="Q165" s="102"/>
      <c r="R165" s="102"/>
      <c r="S165" s="102">
        <f>(E165+H165)*30%</f>
        <v>0.6900000000000001</v>
      </c>
      <c r="T165" s="102"/>
      <c r="U165" s="102"/>
      <c r="V165" s="102">
        <f>(E165+H165)*22.5%</f>
        <v>0.5175000000000001</v>
      </c>
      <c r="W165" s="103">
        <f>D165*12*1490000</f>
        <v>106073100</v>
      </c>
      <c r="X165" s="102"/>
      <c r="Y165" s="594"/>
      <c r="Z165" s="595"/>
      <c r="AA165" s="595"/>
      <c r="AB165" s="595"/>
      <c r="AC165" s="595"/>
    </row>
    <row r="166" spans="1:24" s="142" customFormat="1" ht="30.75" customHeight="1">
      <c r="A166" s="222" t="s">
        <v>193</v>
      </c>
      <c r="B166" s="223" t="s">
        <v>91</v>
      </c>
      <c r="C166" s="104"/>
      <c r="D166" s="102">
        <f>E166+F166+V166</f>
        <v>6.0235</v>
      </c>
      <c r="E166" s="224">
        <v>2.34</v>
      </c>
      <c r="F166" s="102">
        <f>SUM(G166:U166)</f>
        <v>3.157</v>
      </c>
      <c r="G166" s="102">
        <v>0.7</v>
      </c>
      <c r="H166" s="200"/>
      <c r="I166" s="105"/>
      <c r="J166" s="102">
        <f>(E166+H166)*50%</f>
        <v>1.17</v>
      </c>
      <c r="K166" s="105"/>
      <c r="L166" s="105"/>
      <c r="M166" s="105"/>
      <c r="N166" s="102">
        <f>(E166+H166)*25%</f>
        <v>0.585</v>
      </c>
      <c r="O166" s="102"/>
      <c r="P166" s="105"/>
      <c r="Q166" s="105"/>
      <c r="R166" s="105"/>
      <c r="S166" s="102">
        <f>(E166+H166)*30%</f>
        <v>0.702</v>
      </c>
      <c r="T166" s="102"/>
      <c r="U166" s="105"/>
      <c r="V166" s="102">
        <f>(E166+H166)*22.5%</f>
        <v>0.5265</v>
      </c>
      <c r="W166" s="103">
        <f>D166*1*1490000</f>
        <v>8975015</v>
      </c>
      <c r="X166" s="106"/>
    </row>
    <row r="167" spans="1:24" s="142" customFormat="1" ht="30.75" customHeight="1">
      <c r="A167" s="222"/>
      <c r="B167" s="223" t="s">
        <v>91</v>
      </c>
      <c r="C167" s="104"/>
      <c r="D167" s="102">
        <f>E167+F167+V167</f>
        <v>6.774249999999999</v>
      </c>
      <c r="E167" s="225">
        <v>2.67</v>
      </c>
      <c r="F167" s="102">
        <f>SUM(G167:U167)</f>
        <v>3.5035</v>
      </c>
      <c r="G167" s="102">
        <v>0.7</v>
      </c>
      <c r="H167" s="226"/>
      <c r="I167" s="105"/>
      <c r="J167" s="102">
        <f>(E167+H167)*50%</f>
        <v>1.335</v>
      </c>
      <c r="K167" s="105"/>
      <c r="L167" s="105"/>
      <c r="M167" s="105"/>
      <c r="N167" s="102">
        <f>(E167+H167)*25%</f>
        <v>0.6675</v>
      </c>
      <c r="O167" s="105"/>
      <c r="P167" s="105"/>
      <c r="Q167" s="105"/>
      <c r="R167" s="105"/>
      <c r="S167" s="102">
        <f>(E167+H167)*30%</f>
        <v>0.8009999999999999</v>
      </c>
      <c r="T167" s="102"/>
      <c r="U167" s="105"/>
      <c r="V167" s="102">
        <f>(E167+H167)*22.5%</f>
        <v>0.60075</v>
      </c>
      <c r="W167" s="103">
        <f>D167*9*1490000</f>
        <v>90842692.5</v>
      </c>
      <c r="X167" s="227"/>
    </row>
    <row r="168" spans="1:24" s="142" customFormat="1" ht="30.75" customHeight="1">
      <c r="A168" s="222">
        <v>3</v>
      </c>
      <c r="B168" s="223" t="s">
        <v>278</v>
      </c>
      <c r="C168" s="75"/>
      <c r="D168" s="102">
        <f>E168+F168+V168</f>
        <v>2.8665</v>
      </c>
      <c r="E168" s="102">
        <v>2.34</v>
      </c>
      <c r="F168" s="102">
        <f>SUM(G168:U168)</f>
        <v>0</v>
      </c>
      <c r="G168" s="102">
        <v>0</v>
      </c>
      <c r="H168" s="75">
        <v>0</v>
      </c>
      <c r="I168" s="75"/>
      <c r="J168" s="102">
        <v>0</v>
      </c>
      <c r="K168" s="75"/>
      <c r="L168" s="75"/>
      <c r="M168" s="75"/>
      <c r="N168" s="75"/>
      <c r="O168" s="75"/>
      <c r="P168" s="75"/>
      <c r="Q168" s="75"/>
      <c r="R168" s="75"/>
      <c r="S168" s="102"/>
      <c r="T168" s="75"/>
      <c r="U168" s="75"/>
      <c r="V168" s="102">
        <f>(E168+H168)*22.5%</f>
        <v>0.5265</v>
      </c>
      <c r="W168" s="103">
        <f>D168*9*1490000</f>
        <v>38439764.99999999</v>
      </c>
      <c r="X168" s="106"/>
    </row>
    <row r="169" spans="1:24" ht="30.75" customHeight="1">
      <c r="A169" s="235"/>
      <c r="B169" s="232" t="s">
        <v>16</v>
      </c>
      <c r="C169" s="233"/>
      <c r="D169" s="102">
        <f>E169+F169+V169</f>
        <v>7.4567499999999995</v>
      </c>
      <c r="E169" s="233">
        <v>2.67</v>
      </c>
      <c r="F169" s="102">
        <f>SUM(G169:U169)</f>
        <v>4.1185</v>
      </c>
      <c r="G169" s="233">
        <v>0.7</v>
      </c>
      <c r="H169" s="233">
        <v>0.3</v>
      </c>
      <c r="I169" s="233"/>
      <c r="J169" s="233">
        <f>(E169+H169)*50%</f>
        <v>1.4849999999999999</v>
      </c>
      <c r="K169" s="233"/>
      <c r="L169" s="233"/>
      <c r="M169" s="233"/>
      <c r="N169" s="233">
        <f>(E169+H169)*25%</f>
        <v>0.7424999999999999</v>
      </c>
      <c r="O169" s="233"/>
      <c r="P169" s="233"/>
      <c r="Q169" s="233"/>
      <c r="R169" s="233"/>
      <c r="S169" s="102">
        <f>(E169+H169)*30%</f>
        <v>0.8909999999999999</v>
      </c>
      <c r="T169" s="233"/>
      <c r="U169" s="233"/>
      <c r="V169" s="102">
        <f>(E169+H169)*22.5%</f>
        <v>0.66825</v>
      </c>
      <c r="W169" s="234">
        <f>D169*1490000*3</f>
        <v>33331672.5</v>
      </c>
      <c r="X169" s="231"/>
    </row>
  </sheetData>
  <sheetProtection/>
  <mergeCells count="32">
    <mergeCell ref="C7:C9"/>
    <mergeCell ref="D7:V7"/>
    <mergeCell ref="W7:W9"/>
    <mergeCell ref="X7:X9"/>
    <mergeCell ref="D8:D9"/>
    <mergeCell ref="Y150:AC150"/>
    <mergeCell ref="Y32:AC32"/>
    <mergeCell ref="E8:E9"/>
    <mergeCell ref="F8:F9"/>
    <mergeCell ref="G8:U8"/>
    <mergeCell ref="Y156:AC156"/>
    <mergeCell ref="Y159:AC159"/>
    <mergeCell ref="Y163:AC163"/>
    <mergeCell ref="Y165:AC165"/>
    <mergeCell ref="V8:V9"/>
    <mergeCell ref="A2:C2"/>
    <mergeCell ref="A4:X4"/>
    <mergeCell ref="A5:X5"/>
    <mergeCell ref="A7:A9"/>
    <mergeCell ref="B7:B9"/>
    <mergeCell ref="A108:A109"/>
    <mergeCell ref="B108:B109"/>
    <mergeCell ref="A110:A112"/>
    <mergeCell ref="B110:B112"/>
    <mergeCell ref="A113:A114"/>
    <mergeCell ref="B113:B114"/>
    <mergeCell ref="A123:A125"/>
    <mergeCell ref="B123:B125"/>
    <mergeCell ref="A131:A132"/>
    <mergeCell ref="B131:B132"/>
    <mergeCell ref="A140:A141"/>
    <mergeCell ref="B140:B1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8:E27"/>
  <sheetViews>
    <sheetView zoomScalePageLayoutView="0" workbookViewId="0" topLeftCell="A1">
      <selection activeCell="D8" sqref="D8:E27"/>
    </sheetView>
  </sheetViews>
  <sheetFormatPr defaultColWidth="9.140625" defaultRowHeight="15"/>
  <cols>
    <col min="4" max="4" width="16.8515625" style="0" customWidth="1"/>
    <col min="5" max="5" width="13.7109375" style="0" customWidth="1"/>
  </cols>
  <sheetData>
    <row r="8" spans="4:5" ht="15.75">
      <c r="D8" s="2">
        <v>1426944000</v>
      </c>
      <c r="E8" s="2">
        <v>102381340</v>
      </c>
    </row>
    <row r="9" spans="4:5" ht="15">
      <c r="D9" s="477">
        <v>8225000</v>
      </c>
      <c r="E9" s="477"/>
    </row>
    <row r="10" spans="4:5" ht="15">
      <c r="D10" s="477">
        <v>721785000</v>
      </c>
      <c r="E10" s="477">
        <v>-22970000</v>
      </c>
    </row>
    <row r="11" spans="4:5" ht="15">
      <c r="D11" s="1">
        <v>28000000</v>
      </c>
      <c r="E11" s="477">
        <v>-2010000</v>
      </c>
    </row>
    <row r="12" spans="4:5" ht="15">
      <c r="D12" s="477">
        <v>170000000</v>
      </c>
      <c r="E12" s="477">
        <v>-10070000</v>
      </c>
    </row>
    <row r="13" spans="4:5" ht="15">
      <c r="D13" s="477">
        <v>138900000</v>
      </c>
      <c r="E13" s="477">
        <v>64650000</v>
      </c>
    </row>
    <row r="14" spans="4:5" ht="15">
      <c r="D14" s="477">
        <v>92700000</v>
      </c>
      <c r="E14" s="477">
        <v>-1040000</v>
      </c>
    </row>
    <row r="15" spans="4:5" ht="15">
      <c r="D15" s="477">
        <v>6534000</v>
      </c>
      <c r="E15" s="477">
        <v>-420000</v>
      </c>
    </row>
    <row r="16" spans="4:5" ht="15">
      <c r="D16" s="477">
        <v>100000000</v>
      </c>
      <c r="E16" s="477">
        <v>0</v>
      </c>
    </row>
    <row r="17" spans="4:5" ht="15">
      <c r="D17" s="477">
        <v>100000000</v>
      </c>
      <c r="E17" s="477">
        <v>0</v>
      </c>
    </row>
    <row r="18" spans="4:5" ht="15">
      <c r="D18" s="477">
        <v>20700000</v>
      </c>
      <c r="E18" s="477">
        <v>-1700000</v>
      </c>
    </row>
    <row r="19" spans="4:5" ht="15">
      <c r="D19" s="477">
        <v>81000000</v>
      </c>
      <c r="E19" s="477">
        <v>-6370000</v>
      </c>
    </row>
    <row r="20" spans="4:5" ht="15">
      <c r="D20" s="477">
        <v>178800000</v>
      </c>
      <c r="E20" s="477">
        <v>19072000</v>
      </c>
    </row>
    <row r="21" spans="4:5" ht="15">
      <c r="D21" s="477">
        <v>200600000</v>
      </c>
      <c r="E21" s="477">
        <v>-15940000</v>
      </c>
    </row>
    <row r="22" spans="4:5" ht="15">
      <c r="D22" s="477">
        <v>55000000</v>
      </c>
      <c r="E22" s="477">
        <v>-2380000</v>
      </c>
    </row>
    <row r="23" spans="4:5" ht="15">
      <c r="D23" s="477">
        <v>70000000</v>
      </c>
      <c r="E23" s="477">
        <v>0</v>
      </c>
    </row>
    <row r="24" spans="4:5" ht="15">
      <c r="D24" s="477">
        <v>35000000</v>
      </c>
      <c r="E24" s="477">
        <v>0</v>
      </c>
    </row>
    <row r="25" spans="4:5" ht="15">
      <c r="D25" s="477">
        <v>35000000</v>
      </c>
      <c r="E25" s="477">
        <v>0</v>
      </c>
    </row>
    <row r="26" spans="4:5" ht="15">
      <c r="D26" s="477">
        <v>105000000</v>
      </c>
      <c r="E26" s="477">
        <v>0</v>
      </c>
    </row>
    <row r="27" spans="4:5" ht="15">
      <c r="D27" s="478"/>
      <c r="E27" s="478">
        <v>12000000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2021-11-08T02:05:27Z</cp:lastPrinted>
  <dcterms:created xsi:type="dcterms:W3CDTF">2020-08-13T08:34:12Z</dcterms:created>
  <dcterms:modified xsi:type="dcterms:W3CDTF">2021-11-09T07:02:51Z</dcterms:modified>
  <cp:category/>
  <cp:version/>
  <cp:contentType/>
  <cp:contentStatus/>
</cp:coreProperties>
</file>