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420" windowHeight="10416" tabRatio="935" activeTab="0"/>
  </bookViews>
  <sheets>
    <sheet name="30" sheetId="1" r:id="rId1"/>
    <sheet name="31" sheetId="2" r:id="rId2"/>
    <sheet name="32" sheetId="3" r:id="rId3"/>
  </sheets>
  <externalReferences>
    <externalReference r:id="rId6"/>
    <externalReference r:id="rId7"/>
    <externalReference r:id="rId8"/>
  </externalReferences>
  <definedNames>
    <definedName name="_________a1" hidden="1">{"'Sheet1'!$L$16"}</definedName>
    <definedName name="_________PA3" hidden="1">{"'Sheet1'!$L$16"}</definedName>
    <definedName name="_______a1" hidden="1">{"'Sheet1'!$L$16"}</definedName>
    <definedName name="_______PA3" hidden="1">{"'Sheet1'!$L$16"}</definedName>
    <definedName name="______a1" hidden="1">{"'Sheet1'!$L$16"}</definedName>
    <definedName name="______h1" hidden="1">{"'Sheet1'!$L$16"}</definedName>
    <definedName name="______h10" hidden="1">{#N/A,#N/A,FALSE,"Chi ti?t"}</definedName>
    <definedName name="______h2" hidden="1">{"'Sheet1'!$L$16"}</definedName>
    <definedName name="______h3" hidden="1">{"'Sheet1'!$L$16"}</definedName>
    <definedName name="______h5" hidden="1">{"'Sheet1'!$L$16"}</definedName>
    <definedName name="______h6" hidden="1">{"'Sheet1'!$L$16"}</definedName>
    <definedName name="______h7" hidden="1">{"'Sheet1'!$L$16"}</definedName>
    <definedName name="______h8" hidden="1">{"'Sheet1'!$L$16"}</definedName>
    <definedName name="______h9" hidden="1">{"'Sheet1'!$L$16"}</definedName>
    <definedName name="______NSO2" hidden="1">{"'Sheet1'!$L$16"}</definedName>
    <definedName name="______PA3" hidden="1">{"'Sheet1'!$L$16"}</definedName>
    <definedName name="______vl2" hidden="1">{"'Sheet1'!$L$16"}</definedName>
    <definedName name="_____a1" hidden="1">{"'Sheet1'!$L$16"}</definedName>
    <definedName name="_____h1" hidden="1">{"'Sheet1'!$L$16"}</definedName>
    <definedName name="_____h10" hidden="1">{#N/A,#N/A,FALSE,"Chi ti?t"}</definedName>
    <definedName name="_____h2" hidden="1">{"'Sheet1'!$L$16"}</definedName>
    <definedName name="_____h3" hidden="1">{"'Sheet1'!$L$16"}</definedName>
    <definedName name="_____h5" hidden="1">{"'Sheet1'!$L$16"}</definedName>
    <definedName name="_____h6" hidden="1">{"'Sheet1'!$L$16"}</definedName>
    <definedName name="_____h7" hidden="1">{"'Sheet1'!$L$16"}</definedName>
    <definedName name="_____h8" hidden="1">{"'Sheet1'!$L$16"}</definedName>
    <definedName name="_____h9" hidden="1">{"'Sheet1'!$L$16"}</definedName>
    <definedName name="_____NSO2" hidden="1">{"'Sheet1'!$L$16"}</definedName>
    <definedName name="_____PA3" hidden="1">{"'Sheet1'!$L$16"}</definedName>
    <definedName name="_____vl2" hidden="1">{"'Sheet1'!$L$16"}</definedName>
    <definedName name="____h1" hidden="1">{"'Sheet1'!$L$16"}</definedName>
    <definedName name="____h10" hidden="1">{#N/A,#N/A,FALSE,"Chi ti?t"}</definedName>
    <definedName name="____h2" hidden="1">{"'Sheet1'!$L$16"}</definedName>
    <definedName name="____h3" hidden="1">{"'Sheet1'!$L$16"}</definedName>
    <definedName name="____h5" hidden="1">{"'Sheet1'!$L$16"}</definedName>
    <definedName name="____h6" hidden="1">{"'Sheet1'!$L$16"}</definedName>
    <definedName name="____h7" hidden="1">{"'Sheet1'!$L$16"}</definedName>
    <definedName name="____h8" hidden="1">{"'Sheet1'!$L$16"}</definedName>
    <definedName name="____h9" hidden="1">{"'Sheet1'!$L$16"}</definedName>
    <definedName name="____NSO2" hidden="1">{"'Sheet1'!$L$16"}</definedName>
    <definedName name="____vl2" hidden="1">{"'Sheet1'!$L$16"}</definedName>
    <definedName name="___a1" hidden="1">{"'Sheet1'!$L$16"}</definedName>
    <definedName name="___h1" hidden="1">{"'Sheet1'!$L$16"}</definedName>
    <definedName name="___h10" hidden="1">{#N/A,#N/A,FALSE,"Chi ti?t"}</definedName>
    <definedName name="___h2" hidden="1">{"'Sheet1'!$L$16"}</definedName>
    <definedName name="___h3" hidden="1">{"'Sheet1'!$L$16"}</definedName>
    <definedName name="___h5" hidden="1">{"'Sheet1'!$L$16"}</definedName>
    <definedName name="___h6" hidden="1">{"'Sheet1'!$L$16"}</definedName>
    <definedName name="___h7" hidden="1">{"'Sheet1'!$L$16"}</definedName>
    <definedName name="___h8" hidden="1">{"'Sheet1'!$L$16"}</definedName>
    <definedName name="___h9" hidden="1">{"'Sheet1'!$L$16"}</definedName>
    <definedName name="___NSO2" hidden="1">{"'Sheet1'!$L$16"}</definedName>
    <definedName name="___PA3" hidden="1">{"'Sheet1'!$L$16"}</definedName>
    <definedName name="___vl2" hidden="1">{"'Sheet1'!$L$16"}</definedName>
    <definedName name="__a1" hidden="1">{"'Sheet1'!$L$16"}</definedName>
    <definedName name="__h1" hidden="1">{"'Sheet1'!$L$16"}</definedName>
    <definedName name="__h10" hidden="1">{#N/A,#N/A,FALSE,"Chi ti?t"}</definedName>
    <definedName name="__h2" hidden="1">{"'Sheet1'!$L$16"}</definedName>
    <definedName name="__h3" hidden="1">{"'Sheet1'!$L$16"}</definedName>
    <definedName name="__h5" hidden="1">{"'Sheet1'!$L$16"}</definedName>
    <definedName name="__h6" hidden="1">{"'Sheet1'!$L$16"}</definedName>
    <definedName name="__h7" hidden="1">{"'Sheet1'!$L$16"}</definedName>
    <definedName name="__h8" hidden="1">{"'Sheet1'!$L$16"}</definedName>
    <definedName name="__h9" hidden="1">{"'Sheet1'!$L$16"}</definedName>
    <definedName name="__NSO2" hidden="1">{"'Sheet1'!$L$16"}</definedName>
    <definedName name="__PA3" hidden="1">{"'Sheet1'!$L$16"}</definedName>
    <definedName name="__vl2" hidden="1">{"'Sheet1'!$L$16"}</definedName>
    <definedName name="_a1" hidden="1">{"'Sheet1'!$L$16"}</definedName>
    <definedName name="_Fill" hidden="1">#REF!</definedName>
    <definedName name="_h1" hidden="1">{"'Sheet1'!$L$16"}</definedName>
    <definedName name="_h10" hidden="1">{#N/A,#N/A,FALSE,"Chi ti?t"}</definedName>
    <definedName name="_h2" hidden="1">{"'Sheet1'!$L$16"}</definedName>
    <definedName name="_h3" hidden="1">{"'Sheet1'!$L$16"}</definedName>
    <definedName name="_h5" hidden="1">{"'Sheet1'!$L$16"}</definedName>
    <definedName name="_h6" hidden="1">{"'Sheet1'!$L$16"}</definedName>
    <definedName name="_h7" hidden="1">{"'Sheet1'!$L$16"}</definedName>
    <definedName name="_h8" hidden="1">{"'Sheet1'!$L$16"}</definedName>
    <definedName name="_h9" hidden="1">{"'Sheet1'!$L$16"}</definedName>
    <definedName name="_Key1" hidden="1">#REF!</definedName>
    <definedName name="_Key2" hidden="1">#REF!</definedName>
    <definedName name="_NSO2" hidden="1">{"'Sheet1'!$L$16"}</definedName>
    <definedName name="_Order1" hidden="1">255</definedName>
    <definedName name="_Order2" hidden="1">255</definedName>
    <definedName name="_PA3" hidden="1">{"'Sheet1'!$L$16"}</definedName>
    <definedName name="_Sort" hidden="1">#REF!</definedName>
    <definedName name="_vl2" hidden="1">{"'Sheet1'!$L$16"}</definedName>
    <definedName name="anscount" hidden="1">3</definedName>
    <definedName name="BCBo" hidden="1">{"'Sheet1'!$L$16"}</definedName>
    <definedName name="DUCANH" hidden="1">{"'Sheet1'!$L$16"}</definedName>
    <definedName name="h" hidden="1">{"'Sheet1'!$L$16"}</definedName>
    <definedName name="HANG" hidden="1">{#N/A,#N/A,FALSE,"Chi ti?t"}</definedName>
    <definedName name="HIHIHIHOI" hidden="1">{"'Sheet1'!$L$16"}</definedName>
    <definedName name="HJKL"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_xlnm.Print_Area" localSheetId="0">'30'!$A$1:$Q$43</definedName>
    <definedName name="_xlnm.Print_Titles" localSheetId="0">'30'!$7:$8</definedName>
    <definedName name="_xlnm.Print_Titles" localSheetId="1">'31'!$6:$7</definedName>
    <definedName name="_xlnm.Print_Titles" localSheetId="2">'32'!$6:$6</definedName>
    <definedName name="RGHGSD" hidden="1">{"'Sheet1'!$L$16"}</definedName>
    <definedName name="wrn.chi._.tiÆt." hidden="1">{#N/A,#N/A,FALSE,"Chi ti?t"}</definedName>
  </definedNames>
  <calcPr fullCalcOnLoad="1"/>
</workbook>
</file>

<file path=xl/sharedStrings.xml><?xml version="1.0" encoding="utf-8"?>
<sst xmlns="http://schemas.openxmlformats.org/spreadsheetml/2006/main" count="316" uniqueCount="241">
  <si>
    <t>Đơn vị: Triệu đồng</t>
  </si>
  <si>
    <t>STT</t>
  </si>
  <si>
    <t>Nội dung</t>
  </si>
  <si>
    <t>Dự toán</t>
  </si>
  <si>
    <t>Ước thực hiện</t>
  </si>
  <si>
    <t>A</t>
  </si>
  <si>
    <t>B</t>
  </si>
  <si>
    <t>I</t>
  </si>
  <si>
    <t>Thu nội địa</t>
  </si>
  <si>
    <t>1.1</t>
  </si>
  <si>
    <t>Thu từ khu vực doanh nghiệp nhà nước do Trung ương quản lý</t>
  </si>
  <si>
    <t>- Thuế giá trị gia tăng</t>
  </si>
  <si>
    <t>- Thuế thu nhập doanh nghiệp</t>
  </si>
  <si>
    <t>- Thuế tài nguyên</t>
  </si>
  <si>
    <t>Trong đó: Thuế tài nguyên dầu, khí</t>
  </si>
  <si>
    <t>Trong đó: Thu từ hoạt động thăm dò và khai thác dầu, khí</t>
  </si>
  <si>
    <t>- Thuế tiêu thụ đặc biệt</t>
  </si>
  <si>
    <t>Thu từ khu vực kinh tế ngoài quốc doanh</t>
  </si>
  <si>
    <t>Thuế thu nhập cá nhân</t>
  </si>
  <si>
    <t>Thuế bảo vệ môi trường</t>
  </si>
  <si>
    <t>Trong đó: - Thu từ hàng hóa nhập khẩu</t>
  </si>
  <si>
    <t>- Thu từ hàng hóa sản xuất trong nước</t>
  </si>
  <si>
    <t>Lệ phí trước bạ</t>
  </si>
  <si>
    <t>Thu khác ngân sách</t>
  </si>
  <si>
    <t>Trong đó: - Thu khác ngân sách trung ương</t>
  </si>
  <si>
    <t>Thu tiền cấp quyền khai thác khoáng sản</t>
  </si>
  <si>
    <t>Thu từ quỹ đất công ích và thu hoa lợi công sản khác</t>
  </si>
  <si>
    <t>II</t>
  </si>
  <si>
    <t>Thu từ dầu thô</t>
  </si>
  <si>
    <t>III</t>
  </si>
  <si>
    <t>IV</t>
  </si>
  <si>
    <t>Thuế sử dụng đất phi nông nghiệp</t>
  </si>
  <si>
    <t>Thuế sử dụng đất nông nghiệp</t>
  </si>
  <si>
    <t>V</t>
  </si>
  <si>
    <t>Thuế nhập khẩu</t>
  </si>
  <si>
    <t>Chi bảo đảm xã hội</t>
  </si>
  <si>
    <t>Chi đầu tư phát triển</t>
  </si>
  <si>
    <t>Chi thường xuyên</t>
  </si>
  <si>
    <t>a</t>
  </si>
  <si>
    <t>b</t>
  </si>
  <si>
    <t>c</t>
  </si>
  <si>
    <t>Chi giáo dục - đào tạo và dạy nghề</t>
  </si>
  <si>
    <t>1.2</t>
  </si>
  <si>
    <t>C</t>
  </si>
  <si>
    <t>d</t>
  </si>
  <si>
    <t>đ</t>
  </si>
  <si>
    <t>Trong đó:</t>
  </si>
  <si>
    <t xml:space="preserve">TỔNG THU NSNN TRÊN ĐỊA BÀN </t>
  </si>
  <si>
    <t>Thu từ hoạt động xuất khẩu, nhập khẩu</t>
  </si>
  <si>
    <t>Thu viện trợ không hoàn lại</t>
  </si>
  <si>
    <t xml:space="preserve">TỔNG THU NGÂN SÁCH ĐỊA PHƯƠNG </t>
  </si>
  <si>
    <t xml:space="preserve">Thu NSĐP được hưởng theo phân cấp </t>
  </si>
  <si>
    <t>Các khoản thu NSĐP hưởng 100%</t>
  </si>
  <si>
    <t>Các khoản thu phân chia NSĐP theo tỷ lệ %</t>
  </si>
  <si>
    <t>Thu bổ sung từ ngân sách cấp trên</t>
  </si>
  <si>
    <t>Thu bổ sung cân đối ngân sách</t>
  </si>
  <si>
    <t>Thu bổ sung có mục tiêu</t>
  </si>
  <si>
    <t>Thu từ quỹ dự trữ tài chính</t>
  </si>
  <si>
    <t>Thu kết dư</t>
  </si>
  <si>
    <t>Thu chuyển nguồn từ năm trước chuyển sang</t>
  </si>
  <si>
    <t>TỔNG CHI NGÂN SÁCH ĐỊA PHƯƠNG</t>
  </si>
  <si>
    <t>Tổng chi cân đối ngân sách địa phương</t>
  </si>
  <si>
    <t>Chi đầu tư phát triển (1)</t>
  </si>
  <si>
    <t>Chi bổ sung quỹ dự trữ tài chính</t>
  </si>
  <si>
    <t>Dự phòng ngân sách</t>
  </si>
  <si>
    <t>Chi tạo nguồn thực hiện CCTL</t>
  </si>
  <si>
    <t xml:space="preserve">Chi từ nguồn bổ sung có mục tiêu </t>
  </si>
  <si>
    <t>Chi thực hiện các chương trình mục tiêu, nhiệm vụ</t>
  </si>
  <si>
    <t>Chi thực hiện các chế độ, chính sách</t>
  </si>
  <si>
    <t>Chi thực hiện các chương trình mục tiêu quốc gia</t>
  </si>
  <si>
    <t>Chi chuyển nguồn sang năm sau</t>
  </si>
  <si>
    <t>Chi từ nguồn bổ sung có mục tiêu</t>
  </si>
  <si>
    <t>Thu trên địa bàn</t>
  </si>
  <si>
    <t>Dự toán thu trên địa bàn</t>
  </si>
  <si>
    <t xml:space="preserve">TỔNG THU NSNN TRÊN ĐỊA BÀN (I+II+III) </t>
  </si>
  <si>
    <t>THU NỘI ĐỊA</t>
  </si>
  <si>
    <t xml:space="preserve">- Thuế giá trị gia tăng </t>
  </si>
  <si>
    <t xml:space="preserve">Trong đó: Thu từ hoạt động thăm dò, khai thác dầu, khí </t>
  </si>
  <si>
    <t xml:space="preserve">- Thuế thu nhập doanh nghiệp </t>
  </si>
  <si>
    <t xml:space="preserve">Trong đó: Thu từ cơ sở kinh doanh nhập khẩu tiếp tục bán ra trong nước </t>
  </si>
  <si>
    <t xml:space="preserve">Trong đó: Thuế tài nguyên dầu, khí </t>
  </si>
  <si>
    <t>Thu từ khu vực doanh nghiệp nhà nước do địa phương quản lý</t>
  </si>
  <si>
    <t xml:space="preserve">- Thuế tiêu thụ đặc biệt </t>
  </si>
  <si>
    <t>Trong đó: Thu từ cơ sở kinh doanh nhập khẩu tiếp tục bán ra trong nước</t>
  </si>
  <si>
    <t xml:space="preserve">Thu từ khu vực doanh nghiệp có vốn đầu tư nước ngoài </t>
  </si>
  <si>
    <t xml:space="preserve">Trong đó: Thu từ hoạt động thăm dò và khai thác dầu, khí </t>
  </si>
  <si>
    <t xml:space="preserve">- Thu từ khí thiên nhiên </t>
  </si>
  <si>
    <t>Trong đó: - Thu từ cơ sở kinh doanh nhập khẩu tiếp tục bán ra trong nước</t>
  </si>
  <si>
    <t>- Tiền thuê mặt đất, mặt nước</t>
  </si>
  <si>
    <t>Phí, lệ phí</t>
  </si>
  <si>
    <t>Bao gồm: - Phí, lệ phí do cơ quan nhà nước trung ương thu</t>
  </si>
  <si>
    <t>- Phí, lệ phí do cơ quan nhà nước địa phương thu</t>
  </si>
  <si>
    <t>Trong đó: phí bảo vệ môi trường đối với khai thác khoáng sản</t>
  </si>
  <si>
    <t>Tiền sử dụng đất</t>
  </si>
  <si>
    <t>Trong đó: - Thu do cơ quan, tổ chức, đơn vị thuộc Trung ương quản lý</t>
  </si>
  <si>
    <t>- Thu do cơ quan, tổ chức, đơn vị thuộc địa phương quản lý</t>
  </si>
  <si>
    <t>12</t>
  </si>
  <si>
    <t>Thu tiền thuê đất, mặt nước</t>
  </si>
  <si>
    <t>Thu tiền sử dụng khu vực biển</t>
  </si>
  <si>
    <t>Trong đó: - Thuộc thẩm quyền giao của trung ương</t>
  </si>
  <si>
    <t>- Thuộc thẩm quyền giao của địa phương</t>
  </si>
  <si>
    <t>Thu từ bán tài sản nhà nước</t>
  </si>
  <si>
    <t>Trong đó: - Do trung ương quản lý</t>
  </si>
  <si>
    <t xml:space="preserve">                - Do địa phương quản lý</t>
  </si>
  <si>
    <t>Thu từ tài sản được xác lập quyền sở hữu của nhà nước</t>
  </si>
  <si>
    <t>Trong đó: - Do trung ương xử lý</t>
  </si>
  <si>
    <t xml:space="preserve">                - Do địa phương xử lý</t>
  </si>
  <si>
    <t>Thu tiền cho thuê và bán nhà ở thuộc sở hữu nhà nước</t>
  </si>
  <si>
    <t>Trong đó: - Giấy phép do Trung ương cấp</t>
  </si>
  <si>
    <t>- Giấy phép do Ủy ban nhân dân cấp tỉnh cấp</t>
  </si>
  <si>
    <t>Thu cổ tức và lợi nhuận sau thuế (địa phương hưởng 100%)</t>
  </si>
  <si>
    <t>Thu từ hoạt động xổ số kiến thiết (kể cả hoạt động xổ số điện toán)</t>
  </si>
  <si>
    <t>THU TỪ DẦU THÔ</t>
  </si>
  <si>
    <t>THU TỪ HOẠT ĐỘNG XUẤT, NHẬP KHẨU</t>
  </si>
  <si>
    <t>Thuế xuất khẩu</t>
  </si>
  <si>
    <t>Thuế tiêu thụ đặc biệt</t>
  </si>
  <si>
    <t>Thuế giá trị gia tăng</t>
  </si>
  <si>
    <t>Ghi chú: (1) Bao gồm các khoản thu NSĐP hưởng 100%, các khoản thu phân chia giữa NSTW và NSĐP.</t>
  </si>
  <si>
    <t>CHI CÂN ĐỐI NGÂN SÁCH ĐỊA PHƯƠNG</t>
  </si>
  <si>
    <t>Trong đó: Chi cân đối ngân sách địa phương tính tỷ lệ điều tiết, số bổ sung cân đối từ ngân sách trung ương cho ngân sách địa phương (1)</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</si>
  <si>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</si>
  <si>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còn lại (1-1.1)</t>
  </si>
  <si>
    <t>1.2.1</t>
  </si>
  <si>
    <t>Chi đầu tư phát triển của các dự án phân theo nguồn vốn</t>
  </si>
  <si>
    <t>Chi đầu tư XDCB vốn trong nước</t>
  </si>
  <si>
    <t>Chi đầu tư từ nguồn thu tiền sử dụng đất</t>
  </si>
  <si>
    <t>Chi đầu tư từ nguồn thu xổ số kiến thiết</t>
  </si>
  <si>
    <t>Chi đầu tư từ nguồn bội chi ngân sách địa phương</t>
  </si>
  <si>
    <t>1.2.2</t>
  </si>
  <si>
    <t>Chi đầu tư phát triển phân theo lĩnh vực</t>
  </si>
  <si>
    <t>Chi khoa học và công nghệ</t>
  </si>
  <si>
    <t>Chi quốc phòng</t>
  </si>
  <si>
    <t>Chi an ninh</t>
  </si>
  <si>
    <t>Chi y tế, dân số và gia đình</t>
  </si>
  <si>
    <t>e</t>
  </si>
  <si>
    <t>Chi văn hóa thông tin</t>
  </si>
  <si>
    <t>g</t>
  </si>
  <si>
    <t>Chi phát thanh, truyền hình</t>
  </si>
  <si>
    <t>h</t>
  </si>
  <si>
    <t xml:space="preserve">Chi thể dục thể thao </t>
  </si>
  <si>
    <t>i</t>
  </si>
  <si>
    <t>Chi bảo vệ môi trường</t>
  </si>
  <si>
    <t>k</t>
  </si>
  <si>
    <t>Chi hoạt động kinh tế</t>
  </si>
  <si>
    <t>l</t>
  </si>
  <si>
    <t>Chi hoạt động quản lý nhà nước, Đảng, đoàn thể</t>
  </si>
  <si>
    <t>m</t>
  </si>
  <si>
    <t>n</t>
  </si>
  <si>
    <t>Chi khác</t>
  </si>
  <si>
    <t>Chi sự nghiệp y tế, dân số và gia đình</t>
  </si>
  <si>
    <t>Chi sự nghiệp văn hóa thông tin</t>
  </si>
  <si>
    <t>Chi sự nghiệp phát thanh, truyền hình</t>
  </si>
  <si>
    <t>Chi sự nghiệp thể dục thể thao</t>
  </si>
  <si>
    <t>Chi sự nghiệp bảo vệ môi trường</t>
  </si>
  <si>
    <t>Chi trả nợ lãi do chính quyền địa phương vay</t>
  </si>
  <si>
    <t>Chi tạo nguồn cải cách tiền lương</t>
  </si>
  <si>
    <t>Chi đầu tư thực hiện các chương trình mục tiêu, nhiệm vụ khác</t>
  </si>
  <si>
    <t>Chi từ nguồn hỗ trợ thực hiện các chế độ, chính sách theo quy định</t>
  </si>
  <si>
    <t>BỘI CHI NGÂN SÁCH ĐỊA PHƯƠNG/BỘI THU NGÂN SÁCH ĐỊA PHƯƠNG</t>
  </si>
  <si>
    <t>CHI CHUYỂN NGUỒN SANG NĂM SAU CỦA NGÂN SÁCH ĐỊA PHƯƠNG</t>
  </si>
  <si>
    <t>Ghi chú: (1) bao gồm chi trả nợ gốc, lãi, phí và chưa bao gồm chi từ nguồn bội chi (nếu có).</t>
  </si>
  <si>
    <t>Thực hiện năm 2020</t>
  </si>
  <si>
    <t>Năm 2021</t>
  </si>
  <si>
    <t>Dự toán năm 2022</t>
  </si>
  <si>
    <t>Ước thực hiện năm 2021</t>
  </si>
  <si>
    <t>CÂN ĐỐI NGÂN SÁCH ĐỊA PHƯƠNG NĂM 2022</t>
  </si>
  <si>
    <t>BIỂU TỔNG HỢP DỰ TOÁN THU NSNN NĂM 2022</t>
  </si>
  <si>
    <t>Trong đó: Thu do UBND huyện, thành phố trực tiếp tổ chức thực hiện (1)</t>
  </si>
  <si>
    <t>BIỂU TỔNG HỢP DỰ TOÁN CHI NSĐP NĂM 2022</t>
  </si>
  <si>
    <t>Mẫu biểu số 29.1/TT342</t>
  </si>
  <si>
    <t>Mẫu biểu số 31/TT342</t>
  </si>
  <si>
    <t>Mẫu biểu số 32/TT342</t>
  </si>
  <si>
    <t>Chi thực hiện công tác quy hoạch, đo đạc, đăng ký quản lý đất đai, cấp giấy chứng nhận xây dựng cơ sở, đăng ký biến động, chỉnh lý hồ sơ địa chính và lập quy hoạch, kế hoạch sử dụng đất</t>
  </si>
  <si>
    <t>Phân cấp hỗ trợ nông thôn mới 
(ưu tiên đầu tư công trình giáo dục và đào tạo)</t>
  </si>
  <si>
    <t>Phân cấp đầu tư từ nguồn thu XSKT (ưu tiên đầu tư các công trình GD DT thực hiện CTMTQG Xây dựng nông thôn mới)</t>
  </si>
  <si>
    <t>Phân cấp đầu tư các công trình cấp bách</t>
  </si>
  <si>
    <t>Chính sách quy định tại Nghị định số 105/2020/NĐ-CP quy định chính sách phát triển giáo viên mầm non</t>
  </si>
  <si>
    <t xml:space="preserve">hỗ trợ học sinh và trường phổ thông ở xã thôn ĐBKK </t>
  </si>
  <si>
    <t>Chính sách hỗ trợ theo Nghị định 86/2015/NĐ-CP</t>
  </si>
  <si>
    <t>Hỗ trợ tăng cường cơ sở vật chất, trang thiết bị dạy học và sự nghiệp giáo dục khác….</t>
  </si>
  <si>
    <t>hoc bổng và phương tiện học tập cho học sinh khuyết tật</t>
  </si>
  <si>
    <t>Hỗ trợ bổ sung lương biên chế giáo viên mầm non năm 2019</t>
  </si>
  <si>
    <t xml:space="preserve">Kinh phí thực hiện đề án mạng lưới thú y  </t>
  </si>
  <si>
    <t>Chi trả chính sách xã hội theo Nghị định 136</t>
  </si>
  <si>
    <t>Kinh phí hỗ trợ tiền điện hộ nghèo, hộ chính sách xã hội</t>
  </si>
  <si>
    <t>Kinh phí tổ chức Đại hội các tổ chức đoàn thể và Đại hội khác....</t>
  </si>
  <si>
    <t>Hỗ trợ tăng chi sự nghiệp môi trường</t>
  </si>
  <si>
    <t xml:space="preserve">Kinh phí thực hiện nhiệm vụ đảm bảo trật tự an toàn giao thông </t>
  </si>
  <si>
    <t>Kinh phí thăm và chúc tết Nguyên Đán và thôn làng đón tết</t>
  </si>
  <si>
    <t>Hỗ trợ thực hiện chính sách đối với người có uy tín đồng bào DTTS</t>
  </si>
  <si>
    <t>Kinh phí thực hiện chế độ mai táng phí cho các đối tượng</t>
  </si>
  <si>
    <t>Bổ sung kinh phí cho biên chế được điều chuyển từ Sở Nông nghiệp Phát triển nông thôn</t>
  </si>
  <si>
    <t xml:space="preserve">Kinh phí tăng cường nhiệm vụ An ninh - Quốc phòng quan hệ đối ngoại  biên giới </t>
  </si>
  <si>
    <t>Kinh phí mua thẻ BHYT cho đối tượng bảo trợ xã hội</t>
  </si>
  <si>
    <t>Kinh phí thực hiện nhiệm vụ quy hoạch</t>
  </si>
  <si>
    <t>Kinh phí mua thẻ BHYT cho đối tượng Cựu chiến binh, thanh niên xung phong</t>
  </si>
  <si>
    <t>Thu thủy lợi phí, giá dịch vụ thủy lợi</t>
  </si>
  <si>
    <t>Hỗ trợ tiền ăn đào tạo bồi dưỡng cho cán bộ không chuyên trách, xã thôn theo TT36/TT-BTC</t>
  </si>
  <si>
    <t>Kinh phí mua sắm tài sản và sửa chữa xe ô tô và tài sản khác</t>
  </si>
  <si>
    <t>Kinh phí thực hiện "cuộc vận động toàn dân xây dựng nông thôn mới, đô thị văn minh"</t>
  </si>
  <si>
    <t>Nguồn tiết kiệm, cắt giảm theo Nghị quyết 84/NQ-CP của Chính phủ</t>
  </si>
  <si>
    <t>Nguồn tăng thu ngân sách huyện năm 2020</t>
  </si>
  <si>
    <t>Nguồn ngân sách tỉnh bổ sung có mục tiêu</t>
  </si>
  <si>
    <t>Nguồn Kết dư ngân sách huyện</t>
  </si>
  <si>
    <t>Nguồn phân cấp đầu tư các xã biên giới</t>
  </si>
  <si>
    <t>ia tơi chi</t>
  </si>
  <si>
    <t>ước thự hiện</t>
  </si>
  <si>
    <t>Chi nộp trả ngân sách cấp trên</t>
  </si>
  <si>
    <t>Kinh phí thực hiện giao rừng cho thuê rừng</t>
  </si>
  <si>
    <t>Kinh phí thực hiện phòng chống covid</t>
  </si>
  <si>
    <t>Kinh phí thực hiện đề án di dân</t>
  </si>
  <si>
    <t>Hỗ trợ hộ nghèo đón tết</t>
  </si>
  <si>
    <t>Kinh phí mua vác xin phòng chống dịch bệnh viêm da nổi cục bò</t>
  </si>
  <si>
    <t>Kinh phí phục vụ công tác bầu cử đâị biểu HĐND các cấp</t>
  </si>
  <si>
    <t>Kinh phí tiếp xúc cử tri</t>
  </si>
  <si>
    <t>Bổ sung nhiệm vụ phát sinh</t>
  </si>
  <si>
    <t>TỔNG CHI NGÂN SÁCH ĐỊA PHƯƠNG QUẢN LÝ (I+II+III)</t>
  </si>
  <si>
    <t>VĐT</t>
  </si>
  <si>
    <t>Dự án phát triển thị trường lao động và việc làm (cơ sở dữ liệu cung cầu lao động)</t>
  </si>
  <si>
    <t>Hỗ trợ hoạt động chốt kiểm soát liên ngành</t>
  </si>
  <si>
    <t>Chi hỗ trợ chi thường xuyên khác cho huyện và xã chưa cân đối được nguồn, ứng dụng công nghệ thông tin vào quản lý ngân sách, quản lý tiền lương</t>
  </si>
  <si>
    <t>So sánh tỷ lệ %</t>
  </si>
  <si>
    <t>Ước thực hiện so với dự toán HĐND giao</t>
  </si>
  <si>
    <t>Dự toán năm 2022 so với dự toán năm 2021</t>
  </si>
  <si>
    <t>Dự toán năm 2022 so với UTH 2021</t>
  </si>
  <si>
    <t>Dự toán năm 2021 tỉnh giao</t>
  </si>
  <si>
    <t>Dự toán HĐND huyện năm 2021</t>
  </si>
  <si>
    <t>Ước thực hiện so với dự toán tỉnh giao</t>
  </si>
  <si>
    <t>Dự toán năm 2022 so với dự toán tỉnh giao năm 2021</t>
  </si>
  <si>
    <t>f</t>
  </si>
  <si>
    <t>UTH 2021 so với dự toán giao</t>
  </si>
  <si>
    <t>Dự toán năm 2022 so UTH 2021</t>
  </si>
  <si>
    <t>Dự toán năm 2022 so DT 2021</t>
  </si>
  <si>
    <t>So sánh % UTH 2021 so DT 2021</t>
  </si>
  <si>
    <t>So sánh %   DT 2022 so UTH 2021</t>
  </si>
  <si>
    <t>So sánh % DT 2022 so DT 2021</t>
  </si>
  <si>
    <t>Nguồn thu tiền sử dụng, tiền thuê đất giao tăng so với dự toán Trung ương giao để đầu tư cho công tác đo đạc, đăng ký đất đai, cấp giấy chứng nhận, xây dựng cơ sở dữ liệu đất đai và đăng ký biến động, chỉnh lý hồ sơ địa chính thường xuyên theo Chỉ thị số 1474/CT-TTg ngày 24/8/2011 của Thủ tướng Chính Phủ</t>
  </si>
  <si>
    <t>trợ kinh phí trang bị các bộ cồng chiêng, trống cho các thôn làng ĐBDTTS không có cồng chiêng</t>
  </si>
  <si>
    <t>Ước Thực hiện năm 2021</t>
  </si>
  <si>
    <t>(Kèm theo Báo cáo        /BC-UBND ngày       tháng       năm 2021 của Ủy ban nhân dân huyện Ia H'Drai)</t>
  </si>
  <si>
    <t>Dự toán giao đầu năm 2021</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</si>
</sst>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_₫"/>
    <numFmt numFmtId="181" formatCode="#,##0;[Red]\-#,##0\ \ ;&quot;&quot;;@"/>
    <numFmt numFmtId="182" formatCode="#,###;[Red]\-#,###"/>
    <numFmt numFmtId="183" formatCode="_(* #,##0_);_(* \(#,##0\);_(* &quot;-&quot;??_);_(@_)"/>
    <numFmt numFmtId="184" formatCode="_(* #,##0.0_);_(* \(#,##0.0\);_(* &quot;-&quot;??_);_(@_)"/>
    <numFmt numFmtId="185" formatCode="#,##0.00;[Red]#,##0.00"/>
    <numFmt numFmtId="186" formatCode="#,##0;[Red]#,##0"/>
    <numFmt numFmtId="187" formatCode="#,##0.000;[Red]#,##0.000"/>
    <numFmt numFmtId="188" formatCode="#,##0.0"/>
    <numFmt numFmtId="189" formatCode="_-* #,##0\ _₫_-;\-* #,##0\ _₫_-;_-* &quot;-&quot;??\ _₫_-;_-@_-"/>
    <numFmt numFmtId="190" formatCode="_-* #,##0.0_-;\-* #,##0.0_-;_-* &quot;-&quot;??_-;_-@_-"/>
    <numFmt numFmtId="191" formatCode="_-* #,##0_-;\-* #,##0_-;_-* &quot;-&quot;??_-;_-@_-"/>
    <numFmt numFmtId="192" formatCode="0.000"/>
    <numFmt numFmtId="193" formatCode="_-* #,##0.000_-;\-* #,##0.000_-;_-* &quot;-&quot;??_-;_-@_-"/>
    <numFmt numFmtId="194" formatCode="_-* #,##0.0000_-;\-* #,##0.0000_-;_-* &quot;-&quot;??_-;_-@_-"/>
    <numFmt numFmtId="195" formatCode="_-* #,##0.00000_-;\-* #,##0.00000_-;_-* &quot;-&quot;??_-;_-@_-"/>
    <numFmt numFmtId="196" formatCode="_-* #,##0.000000_-;\-* #,##0.000000_-;_-* &quot;-&quot;??_-;_-@_-"/>
    <numFmt numFmtId="197" formatCode="_-* #,##0.0000000_-;\-* #,##0.0000000_-;_-* &quot;-&quot;??_-;_-@_-"/>
    <numFmt numFmtId="198" formatCode="_-* #,##0.000_-;\-* #,##0.000_-;_-* &quot;-&quot;???_-;_-@_-"/>
    <numFmt numFmtId="199" formatCode="0.0000"/>
    <numFmt numFmtId="200" formatCode="#,##0.000"/>
    <numFmt numFmtId="201" formatCode="_-* #,##0.0\ _₫_-;\-* #,##0.0\ _₫_-;_-* &quot;-&quot;??\ _₫_-;_-@_-"/>
    <numFmt numFmtId="202" formatCode="_-* #,##0.000\ _₫_-;\-* #,##0.000\ _₫_-;_-* &quot;-&quot;??\ _₫_-;_-@_-"/>
    <numFmt numFmtId="203" formatCode="&quot;Yes&quot;;&quot;Yes&quot;;&quot;No&quot;"/>
    <numFmt numFmtId="204" formatCode="&quot;True&quot;;&quot;True&quot;;&quot;False&quot;"/>
    <numFmt numFmtId="205" formatCode="&quot;On&quot;;&quot;On&quot;;&quot;Off&quot;"/>
    <numFmt numFmtId="206" formatCode="[$€-2]\ #,##0.00_);[Red]\([$€-2]\ #,##0.00\)"/>
  </numFmts>
  <fonts count="69">
    <font>
      <sz val="11"/>
      <color theme="1"/>
      <name val="times new roman"/>
      <family val="2"/>
    </font>
    <font>
      <sz val="11"/>
      <color indexed="8"/>
      <name val="Calibri"/>
      <family val="2"/>
    </font>
    <font>
      <b/>
      <sz val="11"/>
      <name val="Times New Roman"/>
      <family val="1"/>
    </font>
    <font>
      <sz val="12"/>
      <name val=".VnTime"/>
      <family val="2"/>
    </font>
    <font>
      <sz val="12"/>
      <name val=".VnArial Narrow"/>
      <family val="2"/>
    </font>
    <font>
      <sz val="10"/>
      <name val="Arial"/>
      <family val="2"/>
    </font>
    <font>
      <sz val="14"/>
      <name val="Times New Roman"/>
      <family val="1"/>
    </font>
    <font>
      <b/>
      <i/>
      <sz val="11"/>
      <name val="Times New Roman"/>
      <family val="1"/>
    </font>
    <font>
      <b/>
      <sz val="12"/>
      <name val="Times New Roman"/>
      <family val="1"/>
    </font>
    <font>
      <sz val="11"/>
      <name val="Times New Roman"/>
      <family val="1"/>
    </font>
    <font>
      <i/>
      <sz val="12"/>
      <name val="Times New Roman"/>
      <family val="1"/>
    </font>
    <font>
      <sz val="12"/>
      <name val="Times New Roman"/>
      <family val="1"/>
    </font>
    <font>
      <b/>
      <i/>
      <sz val="12"/>
      <name val="Times New Roman"/>
      <family val="1"/>
    </font>
    <font>
      <i/>
      <sz val="11"/>
      <name val="Times New Roman"/>
      <family val="1"/>
    </font>
    <font>
      <sz val="11"/>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indexed="8"/>
      <name val="Times New Roman"/>
      <family val="2"/>
    </font>
    <font>
      <i/>
      <sz val="11"/>
      <color indexed="23"/>
      <name val="Calibri"/>
      <family val="2"/>
    </font>
    <font>
      <u val="single"/>
      <sz val="11"/>
      <color indexed="20"/>
      <name val="times new roman"/>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i/>
      <sz val="12"/>
      <color indexed="8"/>
      <name val="Times New Roman"/>
      <family val="1"/>
    </font>
    <font>
      <b/>
      <sz val="11"/>
      <color indexed="8"/>
      <name val="Times New Roman"/>
      <family val="1"/>
    </font>
    <font>
      <sz val="11"/>
      <color indexed="9"/>
      <name val="times new roman"/>
      <family val="2"/>
    </font>
    <font>
      <b/>
      <sz val="11"/>
      <color indexed="9"/>
      <name val="times new roman"/>
      <family val="2"/>
    </font>
    <font>
      <b/>
      <sz val="12"/>
      <color indexed="9"/>
      <name val="times new roman"/>
      <family val="2"/>
    </font>
    <font>
      <sz val="14"/>
      <color indexed="9"/>
      <name val="times new roman"/>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Times New Roman"/>
      <family val="2"/>
    </font>
    <font>
      <i/>
      <sz val="11"/>
      <color rgb="FF7F7F7F"/>
      <name val="Calibri"/>
      <family val="2"/>
    </font>
    <font>
      <u val="single"/>
      <sz val="11"/>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i/>
      <sz val="12"/>
      <color rgb="FF000000"/>
      <name val="Times New Roman"/>
      <family val="1"/>
    </font>
    <font>
      <b/>
      <sz val="11"/>
      <color theme="1"/>
      <name val="Times New Roman"/>
      <family val="1"/>
    </font>
    <font>
      <sz val="11"/>
      <color theme="0"/>
      <name val="times new roman"/>
      <family val="2"/>
    </font>
    <font>
      <b/>
      <sz val="11"/>
      <color theme="0"/>
      <name val="times new roman"/>
      <family val="2"/>
    </font>
    <font>
      <b/>
      <sz val="12"/>
      <color theme="0"/>
      <name val="times new roman"/>
      <family val="2"/>
    </font>
    <font>
      <sz val="14"/>
      <color theme="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color indexed="63"/>
      </right>
      <top>
        <color indexed="63"/>
      </top>
      <bottom>
        <color indexed="63"/>
      </bottom>
    </border>
    <border>
      <left>
        <color indexed="63"/>
      </left>
      <right>
        <color indexed="63"/>
      </right>
      <top>
        <color indexed="63"/>
      </top>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5" fillId="0" borderId="0">
      <alignment/>
      <protection/>
    </xf>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5" fillId="0" borderId="0" applyFont="0" applyFill="0" applyBorder="0" applyAlignment="0" applyProtection="0"/>
    <xf numFmtId="184" fontId="46" fillId="0" borderId="0" applyFont="0" applyFill="0" applyBorder="0" applyAlignment="0" applyProtection="0"/>
    <xf numFmtId="43" fontId="5" fillId="0" borderId="0" applyFont="0" applyFill="0" applyBorder="0" applyAlignment="0" applyProtection="0"/>
    <xf numFmtId="179" fontId="4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 fillId="0" borderId="0">
      <alignment/>
      <protection/>
    </xf>
    <xf numFmtId="0" fontId="41" fillId="0" borderId="0">
      <alignment/>
      <protection/>
    </xf>
    <xf numFmtId="0" fontId="41" fillId="0" borderId="0">
      <alignment/>
      <protection/>
    </xf>
    <xf numFmtId="0" fontId="41" fillId="0" borderId="0">
      <alignment/>
      <protection/>
    </xf>
    <xf numFmtId="0" fontId="3" fillId="0" borderId="0">
      <alignment/>
      <protection/>
    </xf>
    <xf numFmtId="0" fontId="6" fillId="0" borderId="0">
      <alignment/>
      <protection/>
    </xf>
    <xf numFmtId="0" fontId="5" fillId="0" borderId="0">
      <alignment/>
      <protection/>
    </xf>
    <xf numFmtId="0" fontId="4" fillId="0" borderId="0">
      <alignment/>
      <protection/>
    </xf>
    <xf numFmtId="0" fontId="0" fillId="0" borderId="0">
      <alignment/>
      <protection/>
    </xf>
    <xf numFmtId="0" fontId="5" fillId="0" borderId="0">
      <alignment/>
      <protection/>
    </xf>
    <xf numFmtId="0" fontId="3" fillId="0" borderId="0">
      <alignment/>
      <protection/>
    </xf>
    <xf numFmtId="0" fontId="41" fillId="0" borderId="0">
      <alignment/>
      <protection/>
    </xf>
    <xf numFmtId="0" fontId="5" fillId="0" borderId="0">
      <alignment/>
      <protection/>
    </xf>
    <xf numFmtId="0" fontId="4"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19">
    <xf numFmtId="0" fontId="0" fillId="0" borderId="0" xfId="0" applyAlignment="1">
      <alignment/>
    </xf>
    <xf numFmtId="0" fontId="0" fillId="0" borderId="0" xfId="0" applyAlignment="1">
      <alignment/>
    </xf>
    <xf numFmtId="0" fontId="61" fillId="0" borderId="0" xfId="0" applyFont="1" applyAlignment="1">
      <alignment vertical="center"/>
    </xf>
    <xf numFmtId="0" fontId="62" fillId="0" borderId="0" xfId="0" applyFont="1" applyAlignment="1">
      <alignment vertical="center"/>
    </xf>
    <xf numFmtId="0" fontId="61" fillId="0" borderId="0" xfId="0" applyFont="1" applyAlignment="1">
      <alignment horizontal="center" vertical="center"/>
    </xf>
    <xf numFmtId="0" fontId="63" fillId="0" borderId="10" xfId="0" applyFont="1" applyBorder="1" applyAlignment="1">
      <alignment vertical="center" wrapText="1"/>
    </xf>
    <xf numFmtId="0" fontId="63" fillId="0" borderId="0" xfId="0" applyFont="1" applyAlignment="1">
      <alignment vertical="center"/>
    </xf>
    <xf numFmtId="0" fontId="62" fillId="0" borderId="10" xfId="0" applyFont="1" applyBorder="1" applyAlignment="1">
      <alignment vertical="center" wrapText="1"/>
    </xf>
    <xf numFmtId="0" fontId="61" fillId="0" borderId="10" xfId="0" applyFont="1" applyBorder="1" applyAlignment="1">
      <alignment vertical="center" wrapText="1"/>
    </xf>
    <xf numFmtId="0" fontId="62" fillId="0" borderId="0" xfId="0" applyFont="1" applyAlignment="1">
      <alignment horizontal="center" vertical="center"/>
    </xf>
    <xf numFmtId="171" fontId="61" fillId="0" borderId="10" xfId="43" applyFont="1" applyBorder="1" applyAlignment="1">
      <alignment horizontal="center" vertical="center" wrapText="1"/>
    </xf>
    <xf numFmtId="171" fontId="0" fillId="0" borderId="0" xfId="43" applyFont="1" applyAlignment="1">
      <alignment/>
    </xf>
    <xf numFmtId="171" fontId="62" fillId="0" borderId="0" xfId="43" applyFont="1" applyAlignment="1">
      <alignment horizontal="center" vertical="center"/>
    </xf>
    <xf numFmtId="191" fontId="62" fillId="0" borderId="0" xfId="43" applyNumberFormat="1" applyFont="1" applyAlignment="1">
      <alignment horizontal="center" vertical="center"/>
    </xf>
    <xf numFmtId="191" fontId="61" fillId="0" borderId="10" xfId="43" applyNumberFormat="1" applyFont="1" applyBorder="1" applyAlignment="1">
      <alignment horizontal="center" vertical="center" wrapText="1"/>
    </xf>
    <xf numFmtId="191" fontId="0" fillId="0" borderId="0" xfId="43" applyNumberFormat="1" applyFont="1" applyAlignment="1">
      <alignment/>
    </xf>
    <xf numFmtId="191" fontId="0" fillId="0" borderId="0" xfId="43" applyNumberFormat="1" applyFont="1" applyAlignment="1">
      <alignment/>
    </xf>
    <xf numFmtId="0" fontId="64" fillId="0" borderId="0" xfId="0" applyFont="1" applyAlignment="1">
      <alignment/>
    </xf>
    <xf numFmtId="0" fontId="61" fillId="0" borderId="10" xfId="0" applyFont="1" applyBorder="1" applyAlignment="1">
      <alignment horizontal="center" vertical="center" wrapText="1"/>
    </xf>
    <xf numFmtId="193" fontId="62" fillId="0" borderId="10" xfId="43" applyNumberFormat="1" applyFont="1" applyBorder="1" applyAlignment="1">
      <alignment horizontal="center" vertical="center" wrapText="1"/>
    </xf>
    <xf numFmtId="191" fontId="0" fillId="0" borderId="0" xfId="43" applyNumberFormat="1" applyFont="1" applyAlignment="1">
      <alignment/>
    </xf>
    <xf numFmtId="171" fontId="63" fillId="0" borderId="0" xfId="43" applyFont="1" applyAlignment="1">
      <alignment horizontal="center" vertical="center" wrapText="1"/>
    </xf>
    <xf numFmtId="171" fontId="62" fillId="0" borderId="0" xfId="43" applyFont="1" applyAlignment="1">
      <alignment horizontal="center" vertical="center" wrapText="1"/>
    </xf>
    <xf numFmtId="191" fontId="2" fillId="0" borderId="0" xfId="43" applyNumberFormat="1" applyFont="1" applyAlignment="1">
      <alignment horizontal="center" vertical="center"/>
    </xf>
    <xf numFmtId="191" fontId="63" fillId="0" borderId="0" xfId="43" applyNumberFormat="1" applyFont="1" applyAlignment="1">
      <alignment horizontal="center" vertical="center" wrapText="1"/>
    </xf>
    <xf numFmtId="191" fontId="62" fillId="0" borderId="0" xfId="43" applyNumberFormat="1" applyFont="1" applyAlignment="1">
      <alignment horizontal="center" vertical="center" wrapText="1"/>
    </xf>
    <xf numFmtId="171" fontId="61" fillId="0" borderId="10" xfId="43" applyNumberFormat="1" applyFont="1" applyBorder="1" applyAlignment="1">
      <alignment horizontal="center" vertical="center" wrapText="1"/>
    </xf>
    <xf numFmtId="171" fontId="0" fillId="33" borderId="0" xfId="43" applyFont="1" applyFill="1" applyAlignment="1">
      <alignment/>
    </xf>
    <xf numFmtId="171" fontId="0" fillId="33" borderId="0" xfId="43" applyFont="1" applyFill="1" applyAlignment="1">
      <alignment/>
    </xf>
    <xf numFmtId="171" fontId="62" fillId="33" borderId="0" xfId="43" applyFont="1" applyFill="1" applyAlignment="1">
      <alignment horizontal="center" vertical="center"/>
    </xf>
    <xf numFmtId="171" fontId="61" fillId="33" borderId="10" xfId="43" applyFont="1" applyFill="1" applyBorder="1" applyAlignment="1">
      <alignment horizontal="center" vertical="center" wrapText="1"/>
    </xf>
    <xf numFmtId="0" fontId="65" fillId="0" borderId="0" xfId="0" applyFont="1" applyAlignment="1">
      <alignment/>
    </xf>
    <xf numFmtId="0" fontId="65" fillId="0" borderId="0" xfId="0" applyFont="1" applyAlignment="1">
      <alignment/>
    </xf>
    <xf numFmtId="197" fontId="65" fillId="0" borderId="0" xfId="0" applyNumberFormat="1" applyFont="1" applyAlignment="1">
      <alignment/>
    </xf>
    <xf numFmtId="171" fontId="65" fillId="0" borderId="0" xfId="0" applyNumberFormat="1" applyFont="1" applyAlignment="1">
      <alignment/>
    </xf>
    <xf numFmtId="191" fontId="65" fillId="0" borderId="0" xfId="0" applyNumberFormat="1" applyFont="1" applyAlignment="1">
      <alignment/>
    </xf>
    <xf numFmtId="192" fontId="65" fillId="0" borderId="0" xfId="0" applyNumberFormat="1" applyFont="1" applyAlignment="1">
      <alignment/>
    </xf>
    <xf numFmtId="193" fontId="65" fillId="0" borderId="0" xfId="0" applyNumberFormat="1" applyFont="1" applyAlignment="1">
      <alignment/>
    </xf>
    <xf numFmtId="0" fontId="66" fillId="0" borderId="0" xfId="0" applyFont="1" applyAlignment="1">
      <alignment/>
    </xf>
    <xf numFmtId="190" fontId="65" fillId="0" borderId="0" xfId="0" applyNumberFormat="1" applyFont="1" applyAlignment="1">
      <alignment/>
    </xf>
    <xf numFmtId="191" fontId="67" fillId="0" borderId="11" xfId="43" applyNumberFormat="1" applyFont="1" applyFill="1" applyBorder="1" applyAlignment="1">
      <alignment horizontal="center" vertical="center" wrapText="1"/>
    </xf>
    <xf numFmtId="191" fontId="65" fillId="0" borderId="0" xfId="43" applyNumberFormat="1" applyFont="1" applyAlignment="1">
      <alignment/>
    </xf>
    <xf numFmtId="3" fontId="68" fillId="0" borderId="0" xfId="0" applyNumberFormat="1" applyFont="1" applyAlignment="1">
      <alignment/>
    </xf>
    <xf numFmtId="0" fontId="68" fillId="0" borderId="0" xfId="0" applyFont="1" applyAlignment="1">
      <alignment/>
    </xf>
    <xf numFmtId="3" fontId="65" fillId="0" borderId="0" xfId="0" applyNumberFormat="1" applyFont="1" applyAlignment="1">
      <alignment/>
    </xf>
    <xf numFmtId="171" fontId="62" fillId="0" borderId="10" xfId="43" applyFont="1" applyBorder="1" applyAlignment="1">
      <alignment horizontal="center" vertical="center" wrapText="1"/>
    </xf>
    <xf numFmtId="0" fontId="62" fillId="0" borderId="10" xfId="0" applyFont="1" applyBorder="1" applyAlignment="1">
      <alignment horizontal="center" vertical="center" wrapText="1"/>
    </xf>
    <xf numFmtId="171" fontId="62" fillId="33" borderId="10" xfId="43" applyFont="1" applyFill="1" applyBorder="1" applyAlignment="1">
      <alignment horizontal="center" vertical="center" wrapText="1"/>
    </xf>
    <xf numFmtId="191" fontId="62" fillId="0" borderId="10" xfId="43" applyNumberFormat="1" applyFont="1" applyBorder="1" applyAlignment="1">
      <alignment horizontal="center" vertical="center" wrapText="1"/>
    </xf>
    <xf numFmtId="191" fontId="62" fillId="6" borderId="10" xfId="43" applyNumberFormat="1" applyFont="1" applyFill="1" applyBorder="1" applyAlignment="1">
      <alignment horizontal="center" vertical="center" wrapText="1"/>
    </xf>
    <xf numFmtId="171" fontId="62" fillId="6" borderId="10" xfId="43" applyFont="1" applyFill="1" applyBorder="1" applyAlignment="1">
      <alignment horizontal="center" vertical="center" wrapText="1"/>
    </xf>
    <xf numFmtId="0" fontId="8" fillId="0" borderId="0" xfId="0" applyFont="1" applyAlignment="1">
      <alignment vertical="center"/>
    </xf>
    <xf numFmtId="0" fontId="9" fillId="0" borderId="0" xfId="0" applyFont="1" applyAlignment="1">
      <alignment/>
    </xf>
    <xf numFmtId="191" fontId="9" fillId="0" borderId="0" xfId="43" applyNumberFormat="1" applyFont="1" applyAlignment="1">
      <alignment/>
    </xf>
    <xf numFmtId="0" fontId="8" fillId="0" borderId="0" xfId="0" applyFont="1" applyAlignment="1">
      <alignment horizontal="center" vertical="center"/>
    </xf>
    <xf numFmtId="0" fontId="9" fillId="0" borderId="0" xfId="0" applyFont="1" applyAlignment="1">
      <alignment/>
    </xf>
    <xf numFmtId="191" fontId="9" fillId="0" borderId="0" xfId="43" applyNumberFormat="1" applyFont="1" applyAlignment="1">
      <alignment/>
    </xf>
    <xf numFmtId="0" fontId="10" fillId="0" borderId="0" xfId="0" applyFont="1" applyAlignment="1">
      <alignment horizontal="center" vertical="center"/>
    </xf>
    <xf numFmtId="191" fontId="10" fillId="0" borderId="0" xfId="43" applyNumberFormat="1" applyFont="1" applyAlignment="1">
      <alignment horizontal="right" vertical="center"/>
    </xf>
    <xf numFmtId="0" fontId="8" fillId="0" borderId="10" xfId="0" applyFont="1" applyBorder="1" applyAlignment="1">
      <alignment horizontal="center" vertical="center" wrapText="1"/>
    </xf>
    <xf numFmtId="191" fontId="8" fillId="0" borderId="10" xfId="43" applyNumberFormat="1" applyFont="1" applyBorder="1" applyAlignment="1">
      <alignment horizontal="center" vertical="center" wrapText="1"/>
    </xf>
    <xf numFmtId="191" fontId="8" fillId="0" borderId="11" xfId="43" applyNumberFormat="1" applyFont="1" applyBorder="1" applyAlignment="1">
      <alignment horizontal="center" vertical="center" wrapText="1"/>
    </xf>
    <xf numFmtId="191" fontId="8" fillId="0" borderId="11" xfId="43" applyNumberFormat="1" applyFont="1" applyFill="1" applyBorder="1" applyAlignment="1">
      <alignment horizontal="center" vertical="center" wrapText="1"/>
    </xf>
    <xf numFmtId="191" fontId="9" fillId="0" borderId="0" xfId="0" applyNumberFormat="1" applyFont="1" applyAlignment="1">
      <alignment/>
    </xf>
    <xf numFmtId="0" fontId="11" fillId="0" borderId="10" xfId="0" applyFont="1" applyBorder="1" applyAlignment="1">
      <alignment horizontal="center" vertical="center" wrapText="1"/>
    </xf>
    <xf numFmtId="191" fontId="11" fillId="0" borderId="10" xfId="43" applyNumberFormat="1" applyFont="1" applyBorder="1" applyAlignment="1">
      <alignment horizontal="center" vertical="center" wrapText="1"/>
    </xf>
    <xf numFmtId="191" fontId="11" fillId="0" borderId="0" xfId="43" applyNumberFormat="1" applyFont="1" applyBorder="1" applyAlignment="1">
      <alignment horizontal="center" vertical="center" wrapText="1"/>
    </xf>
    <xf numFmtId="191" fontId="11" fillId="0" borderId="0" xfId="43" applyNumberFormat="1" applyFont="1" applyFill="1" applyBorder="1" applyAlignment="1">
      <alignment horizontal="center" vertical="center" wrapText="1"/>
    </xf>
    <xf numFmtId="0" fontId="8" fillId="0" borderId="10" xfId="0" applyFont="1" applyBorder="1" applyAlignment="1">
      <alignment vertical="center" wrapText="1"/>
    </xf>
    <xf numFmtId="191" fontId="8" fillId="0" borderId="0" xfId="43" applyNumberFormat="1" applyFont="1" applyBorder="1" applyAlignment="1">
      <alignment horizontal="center" vertical="center" wrapText="1"/>
    </xf>
    <xf numFmtId="0" fontId="12" fillId="0" borderId="10" xfId="0" applyFont="1" applyBorder="1" applyAlignment="1">
      <alignment vertical="center" wrapText="1"/>
    </xf>
    <xf numFmtId="0" fontId="11" fillId="0" borderId="10" xfId="0" applyFont="1" applyBorder="1" applyAlignment="1">
      <alignment vertical="center" wrapText="1"/>
    </xf>
    <xf numFmtId="191" fontId="11" fillId="0" borderId="10" xfId="43" applyNumberFormat="1" applyFont="1" applyBorder="1" applyAlignment="1">
      <alignment vertical="center" wrapText="1"/>
    </xf>
    <xf numFmtId="191" fontId="10" fillId="0" borderId="10" xfId="43" applyNumberFormat="1" applyFont="1" applyBorder="1" applyAlignment="1">
      <alignment horizontal="center" vertical="center" wrapText="1"/>
    </xf>
    <xf numFmtId="191" fontId="10" fillId="0" borderId="0" xfId="43" applyNumberFormat="1" applyFont="1" applyBorder="1" applyAlignment="1">
      <alignment horizontal="center" vertical="center" wrapText="1"/>
    </xf>
    <xf numFmtId="0" fontId="13" fillId="0" borderId="0" xfId="0" applyFont="1" applyAlignment="1">
      <alignment/>
    </xf>
    <xf numFmtId="0" fontId="8" fillId="33" borderId="10" xfId="0" applyFont="1" applyFill="1" applyBorder="1" applyAlignment="1">
      <alignment horizontal="center" vertical="center" wrapText="1"/>
    </xf>
    <xf numFmtId="0" fontId="8" fillId="33" borderId="10" xfId="0" applyFont="1" applyFill="1" applyBorder="1" applyAlignment="1">
      <alignment vertical="center" wrapText="1"/>
    </xf>
    <xf numFmtId="191" fontId="8" fillId="33" borderId="10" xfId="43" applyNumberFormat="1" applyFont="1" applyFill="1" applyBorder="1" applyAlignment="1">
      <alignment horizontal="center" vertical="center" wrapText="1"/>
    </xf>
    <xf numFmtId="191" fontId="8" fillId="33" borderId="0" xfId="43" applyNumberFormat="1" applyFont="1" applyFill="1" applyBorder="1" applyAlignment="1">
      <alignment horizontal="center" vertical="center" wrapText="1"/>
    </xf>
    <xf numFmtId="0" fontId="9" fillId="33" borderId="0" xfId="0" applyFont="1" applyFill="1" applyAlignment="1">
      <alignment/>
    </xf>
    <xf numFmtId="0" fontId="10" fillId="33" borderId="10" xfId="0" applyFont="1" applyFill="1" applyBorder="1" applyAlignment="1">
      <alignment horizontal="center" vertical="center" wrapText="1"/>
    </xf>
    <xf numFmtId="0" fontId="10" fillId="33" borderId="10" xfId="0" applyFont="1" applyFill="1" applyBorder="1" applyAlignment="1">
      <alignment vertical="center" wrapText="1"/>
    </xf>
    <xf numFmtId="191" fontId="11" fillId="33" borderId="10" xfId="43" applyNumberFormat="1" applyFont="1" applyFill="1" applyBorder="1" applyAlignment="1">
      <alignment horizontal="center" vertical="center" wrapText="1"/>
    </xf>
    <xf numFmtId="191" fontId="11" fillId="33" borderId="0" xfId="43" applyNumberFormat="1" applyFont="1" applyFill="1" applyBorder="1" applyAlignment="1">
      <alignment horizontal="center" vertical="center" wrapText="1"/>
    </xf>
    <xf numFmtId="191" fontId="9" fillId="33" borderId="0" xfId="0" applyNumberFormat="1" applyFont="1" applyFill="1" applyAlignment="1">
      <alignment/>
    </xf>
    <xf numFmtId="0" fontId="2" fillId="0" borderId="0" xfId="0" applyFont="1" applyAlignment="1">
      <alignment/>
    </xf>
    <xf numFmtId="0" fontId="10" fillId="0" borderId="10" xfId="0" applyFont="1" applyBorder="1" applyAlignment="1">
      <alignment horizontal="center" vertical="center" wrapText="1"/>
    </xf>
    <xf numFmtId="0" fontId="10" fillId="0" borderId="10" xfId="0" applyFont="1" applyBorder="1" applyAlignment="1">
      <alignment vertical="center" wrapText="1"/>
    </xf>
    <xf numFmtId="191" fontId="11" fillId="0" borderId="12" xfId="43" applyNumberFormat="1" applyFont="1" applyFill="1" applyBorder="1" applyAlignment="1">
      <alignment horizontal="center" vertical="center" wrapText="1"/>
    </xf>
    <xf numFmtId="171" fontId="9" fillId="0" borderId="0" xfId="0" applyNumberFormat="1" applyFont="1" applyAlignment="1">
      <alignment/>
    </xf>
    <xf numFmtId="0" fontId="11" fillId="33" borderId="10" xfId="0" applyFont="1" applyFill="1" applyBorder="1" applyAlignment="1">
      <alignment horizontal="center" vertical="center" wrapText="1"/>
    </xf>
    <xf numFmtId="0" fontId="11" fillId="33" borderId="10" xfId="0" applyFont="1" applyFill="1" applyBorder="1" applyAlignment="1">
      <alignment vertical="center" wrapText="1"/>
    </xf>
    <xf numFmtId="0" fontId="10" fillId="0" borderId="0" xfId="0" applyFont="1" applyAlignment="1">
      <alignment vertical="center"/>
    </xf>
    <xf numFmtId="191" fontId="10" fillId="0" borderId="0" xfId="43" applyNumberFormat="1" applyFont="1" applyAlignment="1">
      <alignment horizontal="center" vertical="center" wrapText="1"/>
    </xf>
    <xf numFmtId="191" fontId="8" fillId="0" borderId="0" xfId="43" applyNumberFormat="1" applyFont="1" applyAlignment="1">
      <alignment horizontal="center" vertical="center" wrapText="1"/>
    </xf>
    <xf numFmtId="0" fontId="8" fillId="6" borderId="10" xfId="0" applyFont="1" applyFill="1" applyBorder="1" applyAlignment="1">
      <alignment horizontal="center" vertical="center" wrapText="1"/>
    </xf>
    <xf numFmtId="191" fontId="8" fillId="6" borderId="10" xfId="43" applyNumberFormat="1" applyFont="1" applyFill="1" applyBorder="1" applyAlignment="1">
      <alignment horizontal="center" vertical="center" wrapText="1"/>
    </xf>
    <xf numFmtId="0" fontId="9" fillId="0" borderId="10" xfId="0" applyFont="1" applyBorder="1" applyAlignment="1">
      <alignment vertical="center" wrapText="1"/>
    </xf>
    <xf numFmtId="171" fontId="62" fillId="6" borderId="10" xfId="43" applyFont="1" applyFill="1" applyBorder="1" applyAlignment="1">
      <alignment horizontal="center" vertical="center" wrapText="1"/>
    </xf>
    <xf numFmtId="0" fontId="62" fillId="0" borderId="0" xfId="0" applyFont="1" applyAlignment="1">
      <alignment horizontal="center" vertical="center"/>
    </xf>
    <xf numFmtId="0" fontId="63" fillId="0" borderId="0" xfId="0" applyFont="1" applyAlignment="1">
      <alignment horizontal="center" vertical="center"/>
    </xf>
    <xf numFmtId="171" fontId="2" fillId="0" borderId="0" xfId="43" applyFont="1" applyAlignment="1">
      <alignment horizontal="right" vertical="center"/>
    </xf>
    <xf numFmtId="171" fontId="63" fillId="0" borderId="13" xfId="43" applyFont="1" applyBorder="1" applyAlignment="1">
      <alignment horizontal="right" vertical="center"/>
    </xf>
    <xf numFmtId="171" fontId="63" fillId="0" borderId="0" xfId="43" applyFont="1" applyAlignment="1">
      <alignment horizontal="center" vertical="center" wrapText="1"/>
    </xf>
    <xf numFmtId="0" fontId="62" fillId="6" borderId="10" xfId="0" applyFont="1" applyFill="1" applyBorder="1" applyAlignment="1">
      <alignment horizontal="center" vertical="center" wrapText="1"/>
    </xf>
    <xf numFmtId="191" fontId="62" fillId="6" borderId="10" xfId="43" applyNumberFormat="1" applyFont="1" applyFill="1" applyBorder="1" applyAlignment="1">
      <alignment horizontal="center" vertical="center" wrapText="1"/>
    </xf>
    <xf numFmtId="0" fontId="61" fillId="0" borderId="0" xfId="0" applyFont="1" applyAlignment="1">
      <alignment vertical="center" wrapText="1"/>
    </xf>
    <xf numFmtId="171" fontId="62" fillId="0" borderId="0" xfId="43" applyFont="1" applyAlignment="1">
      <alignment horizontal="center" vertical="center" wrapText="1"/>
    </xf>
    <xf numFmtId="191" fontId="63" fillId="0" borderId="0" xfId="43" applyNumberFormat="1" applyFont="1" applyAlignment="1">
      <alignment horizontal="center" vertical="center" wrapText="1"/>
    </xf>
    <xf numFmtId="191" fontId="62" fillId="0" borderId="0" xfId="43" applyNumberFormat="1" applyFont="1" applyAlignment="1">
      <alignment horizontal="center" vertical="center" wrapText="1"/>
    </xf>
    <xf numFmtId="191" fontId="7" fillId="0" borderId="0" xfId="43" applyNumberFormat="1" applyFont="1" applyAlignment="1">
      <alignment horizontal="right" vertical="center"/>
    </xf>
    <xf numFmtId="191" fontId="63" fillId="0" borderId="13" xfId="43" applyNumberFormat="1" applyFont="1" applyBorder="1" applyAlignment="1">
      <alignment horizontal="right" vertical="center"/>
    </xf>
    <xf numFmtId="191" fontId="10" fillId="0" borderId="13" xfId="43" applyNumberFormat="1" applyFont="1" applyBorder="1" applyAlignment="1">
      <alignment horizontal="right" vertical="center"/>
    </xf>
    <xf numFmtId="0" fontId="11" fillId="0" borderId="0" xfId="0" applyFont="1" applyAlignment="1">
      <alignment vertical="center" wrapText="1"/>
    </xf>
    <xf numFmtId="191" fontId="10" fillId="0" borderId="0" xfId="43" applyNumberFormat="1" applyFont="1" applyAlignment="1">
      <alignment horizontal="center" vertical="center" wrapText="1"/>
    </xf>
    <xf numFmtId="191" fontId="8" fillId="0" borderId="0" xfId="43" applyNumberFormat="1" applyFont="1" applyAlignment="1">
      <alignment horizontal="center" vertical="center" wrapText="1"/>
    </xf>
    <xf numFmtId="0" fontId="8" fillId="0" borderId="0" xfId="0" applyFont="1" applyAlignment="1">
      <alignment horizontal="center" vertical="center"/>
    </xf>
    <xf numFmtId="0" fontId="10" fillId="0" borderId="0" xfId="0" applyFont="1" applyAlignment="1">
      <alignment horizontal="center"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utoFormat-Optionen" xfId="39"/>
    <cellStyle name="Bad" xfId="40"/>
    <cellStyle name="Calculation" xfId="41"/>
    <cellStyle name="Check Cell" xfId="42"/>
    <cellStyle name="Comma" xfId="43"/>
    <cellStyle name="Comma [0]" xfId="44"/>
    <cellStyle name="Comma 10" xfId="45"/>
    <cellStyle name="Comma 11" xfId="46"/>
    <cellStyle name="Comma 2" xfId="47"/>
    <cellStyle name="Comma 2 2" xfId="48"/>
    <cellStyle name="Comma 3"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11" xfId="64"/>
    <cellStyle name="Normal 12" xfId="65"/>
    <cellStyle name="Normal 17" xfId="66"/>
    <cellStyle name="Normal 2" xfId="67"/>
    <cellStyle name="Normal 2 2" xfId="68"/>
    <cellStyle name="Normal 2 2 2" xfId="69"/>
    <cellStyle name="Normal 2 3" xfId="70"/>
    <cellStyle name="Normal 2 4" xfId="71"/>
    <cellStyle name="Normal 3" xfId="72"/>
    <cellStyle name="Normal 3 2" xfId="73"/>
    <cellStyle name="Normal 3 3" xfId="74"/>
    <cellStyle name="Normal 4" xfId="75"/>
    <cellStyle name="Normal 5" xfId="76"/>
    <cellStyle name="Normal 7" xfId="77"/>
    <cellStyle name="Note" xfId="78"/>
    <cellStyle name="Output" xfId="79"/>
    <cellStyle name="Percent" xfId="80"/>
    <cellStyle name="Title" xfId="81"/>
    <cellStyle name="Total" xfId="82"/>
    <cellStyle name="Warning Text"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N&#258;M%202021\d&#7921;%20to&#225;n%20n&#259;m%202022\ptc%20l&#7853;p\L&#7847;n%201\D&#7920;%20TO&#193;N%20NS%20C&#7844;P%20X&#195;%202022%20t&#226;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N&#258;M%202021\d&#7921;%20to&#225;n%20n&#259;m%202022\ptc%20l&#7853;p\L&#7847;n%201\01.08%20bi&#7875;u%20k&#232;m%20TTrUB%20%20DT%20C&#272;%20202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ell\Downloads\0208VB%20STC%202914_%20Bieu%20mau%20xay%20dung%20DT%202022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
      <sheetName val="32"/>
      <sheetName val="CHI TIẾT LƯƠNG, PC"/>
    </sheetNames>
    <sheetDataSet>
      <sheetData sheetId="1">
        <row r="35">
          <cell r="F35">
            <v>32399.05</v>
          </cell>
        </row>
        <row r="37">
          <cell r="F37">
            <v>300</v>
          </cell>
        </row>
        <row r="45">
          <cell r="F45">
            <v>779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0"/>
      <sheetName val="31"/>
      <sheetName val="32"/>
      <sheetName val="33"/>
      <sheetName val="34"/>
      <sheetName val="35"/>
      <sheetName val="37"/>
      <sheetName val="39"/>
      <sheetName val="41"/>
      <sheetName val="42"/>
      <sheetName val="44"/>
      <sheetName val="47"/>
      <sheetName val="03"/>
      <sheetName val="04"/>
      <sheetName val="TH xã"/>
      <sheetName val="chi tietxã 05"/>
      <sheetName val="PB chi tiet cap huyenchi tiet 6"/>
      <sheetName val="sheeet2"/>
      <sheetName val="sheeet1"/>
      <sheetName val="sheeet136"/>
      <sheetName val="sheeet138"/>
      <sheetName val="sheeet146TAM"/>
      <sheetName val="SHEET"/>
      <sheetName val="sheet 1"/>
      <sheetName val="luong cap huyen"/>
      <sheetName val="gd"/>
    </sheetNames>
    <sheetDataSet>
      <sheetData sheetId="16">
        <row r="334">
          <cell r="J334">
            <v>31320050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 tong hop"/>
      <sheetName val="08"/>
      <sheetName val="09"/>
      <sheetName val="12.3"/>
      <sheetName val="12.4"/>
      <sheetName val="12.5"/>
      <sheetName val="13.8"/>
      <sheetName val="13.9"/>
      <sheetName val="13.10"/>
      <sheetName val="18"/>
      <sheetName val="28"/>
      <sheetName val="29.1"/>
      <sheetName val="31"/>
      <sheetName val="32"/>
      <sheetName val="35"/>
      <sheetName val="Bieu 1"/>
      <sheetName val="Bieu 2a"/>
      <sheetName val="Bieu 2b"/>
      <sheetName val="Bieu 2c"/>
      <sheetName val="Bieu 2d"/>
      <sheetName val="Bieu 3"/>
      <sheetName val="Bieu 4"/>
      <sheetName val="Bieu 5"/>
    </sheetNames>
    <sheetDataSet>
      <sheetData sheetId="12">
        <row r="9">
          <cell r="F9">
            <v>34162.49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Y43"/>
  <sheetViews>
    <sheetView showGridLines="0" tabSelected="1" view="pageBreakPreview" zoomScale="60" zoomScalePageLayoutView="0" workbookViewId="0" topLeftCell="A1">
      <selection activeCell="AE10" sqref="AE10"/>
    </sheetView>
  </sheetViews>
  <sheetFormatPr defaultColWidth="9.140625" defaultRowHeight="15"/>
  <cols>
    <col min="1" max="1" width="6.421875" style="0" customWidth="1"/>
    <col min="2" max="2" width="45.7109375" style="0" customWidth="1"/>
    <col min="3" max="3" width="14.8515625" style="28" hidden="1" customWidth="1"/>
    <col min="4" max="4" width="13.00390625" style="16" customWidth="1"/>
    <col min="5" max="5" width="12.8515625" style="16" customWidth="1"/>
    <col min="6" max="6" width="14.7109375" style="11" customWidth="1"/>
    <col min="7" max="7" width="16.28125" style="11" customWidth="1"/>
    <col min="8" max="8" width="16.00390625" style="11" customWidth="1"/>
    <col min="9" max="9" width="15.7109375" style="11" customWidth="1"/>
    <col min="10" max="10" width="21.28125" style="32" hidden="1" customWidth="1"/>
    <col min="11" max="11" width="11.421875" style="32" hidden="1" customWidth="1"/>
    <col min="12" max="12" width="9.140625" style="32" hidden="1" customWidth="1"/>
    <col min="13" max="13" width="10.421875" style="32" hidden="1" customWidth="1"/>
    <col min="14" max="25" width="9.140625" style="32" hidden="1" customWidth="1"/>
    <col min="26" max="28" width="0" style="0" hidden="1" customWidth="1"/>
  </cols>
  <sheetData>
    <row r="1" spans="1:25" s="1" customFormat="1" ht="15">
      <c r="A1" s="3"/>
      <c r="C1" s="27"/>
      <c r="D1" s="102" t="s">
        <v>169</v>
      </c>
      <c r="E1" s="102"/>
      <c r="F1" s="102"/>
      <c r="G1" s="102"/>
      <c r="H1" s="102"/>
      <c r="I1" s="102"/>
      <c r="J1" s="31"/>
      <c r="K1" s="31"/>
      <c r="L1" s="31"/>
      <c r="M1" s="31"/>
      <c r="N1" s="31"/>
      <c r="O1" s="31"/>
      <c r="P1" s="31"/>
      <c r="Q1" s="31"/>
      <c r="R1" s="31"/>
      <c r="S1" s="31"/>
      <c r="T1" s="31"/>
      <c r="U1" s="31"/>
      <c r="V1" s="31"/>
      <c r="W1" s="31"/>
      <c r="X1" s="31"/>
      <c r="Y1" s="31"/>
    </row>
    <row r="2" ht="15">
      <c r="A2" s="2"/>
    </row>
    <row r="3" spans="1:9" ht="15">
      <c r="A3" s="100" t="s">
        <v>165</v>
      </c>
      <c r="B3" s="100"/>
      <c r="C3" s="100"/>
      <c r="D3" s="100"/>
      <c r="E3" s="100"/>
      <c r="F3" s="100"/>
      <c r="G3" s="100"/>
      <c r="H3" s="100"/>
      <c r="I3" s="100"/>
    </row>
    <row r="4" spans="1:9" ht="15">
      <c r="A4" s="101" t="s">
        <v>239</v>
      </c>
      <c r="B4" s="101"/>
      <c r="C4" s="101"/>
      <c r="D4" s="101"/>
      <c r="E4" s="101"/>
      <c r="F4" s="101"/>
      <c r="G4" s="101"/>
      <c r="H4" s="101"/>
      <c r="I4" s="101"/>
    </row>
    <row r="5" spans="1:9" ht="15">
      <c r="A5" s="9"/>
      <c r="B5" s="9"/>
      <c r="C5" s="29"/>
      <c r="D5" s="13"/>
      <c r="E5" s="13"/>
      <c r="F5" s="12"/>
      <c r="G5" s="12"/>
      <c r="H5" s="12"/>
      <c r="I5" s="12"/>
    </row>
    <row r="6" spans="6:9" ht="15">
      <c r="F6" s="103" t="s">
        <v>0</v>
      </c>
      <c r="G6" s="103"/>
      <c r="H6" s="103"/>
      <c r="I6" s="103"/>
    </row>
    <row r="7" spans="1:9" ht="15">
      <c r="A7" s="105" t="s">
        <v>1</v>
      </c>
      <c r="B7" s="105" t="s">
        <v>2</v>
      </c>
      <c r="C7" s="99" t="s">
        <v>161</v>
      </c>
      <c r="D7" s="106" t="s">
        <v>162</v>
      </c>
      <c r="E7" s="106"/>
      <c r="F7" s="99" t="s">
        <v>163</v>
      </c>
      <c r="G7" s="99" t="s">
        <v>221</v>
      </c>
      <c r="H7" s="99"/>
      <c r="I7" s="99"/>
    </row>
    <row r="8" spans="1:9" ht="46.5">
      <c r="A8" s="105"/>
      <c r="B8" s="105"/>
      <c r="C8" s="99"/>
      <c r="D8" s="49" t="s">
        <v>3</v>
      </c>
      <c r="E8" s="49" t="s">
        <v>4</v>
      </c>
      <c r="F8" s="99"/>
      <c r="G8" s="50" t="s">
        <v>230</v>
      </c>
      <c r="H8" s="50" t="s">
        <v>231</v>
      </c>
      <c r="I8" s="50" t="s">
        <v>232</v>
      </c>
    </row>
    <row r="9" spans="1:9" ht="15" hidden="1">
      <c r="A9" s="18" t="s">
        <v>5</v>
      </c>
      <c r="B9" s="18" t="s">
        <v>6</v>
      </c>
      <c r="C9" s="30">
        <v>1</v>
      </c>
      <c r="D9" s="14">
        <v>2</v>
      </c>
      <c r="E9" s="14">
        <v>3</v>
      </c>
      <c r="F9" s="10">
        <v>4</v>
      </c>
      <c r="G9" s="10">
        <v>5</v>
      </c>
      <c r="H9" s="10">
        <v>6</v>
      </c>
      <c r="I9" s="10">
        <v>7</v>
      </c>
    </row>
    <row r="10" spans="1:9" ht="15">
      <c r="A10" s="46" t="s">
        <v>5</v>
      </c>
      <c r="B10" s="7" t="s">
        <v>47</v>
      </c>
      <c r="C10" s="47">
        <f>+C11+C12+C13+C14</f>
        <v>95504.499729</v>
      </c>
      <c r="D10" s="48">
        <f>+D11+D12+D13+D14</f>
        <v>71641</v>
      </c>
      <c r="E10" s="48">
        <f>+E11+E12+E13+E14</f>
        <v>73399.5</v>
      </c>
      <c r="F10" s="45">
        <f>+F11+F12+F13+F14</f>
        <v>50350</v>
      </c>
      <c r="G10" s="45">
        <f>+E10/D10%</f>
        <v>102.45460001954189</v>
      </c>
      <c r="H10" s="45">
        <f>+F10/E10%</f>
        <v>68.59719752859351</v>
      </c>
      <c r="I10" s="45">
        <f>+F10/D10%</f>
        <v>70.28098435253557</v>
      </c>
    </row>
    <row r="11" spans="1:9" ht="15">
      <c r="A11" s="18">
        <v>1</v>
      </c>
      <c r="B11" s="8" t="s">
        <v>8</v>
      </c>
      <c r="C11" s="30">
        <v>95504.499729</v>
      </c>
      <c r="D11" s="14">
        <v>71641</v>
      </c>
      <c r="E11" s="14">
        <f>+'31'!F9</f>
        <v>73399.5</v>
      </c>
      <c r="F11" s="10">
        <f>+'31'!H9</f>
        <v>50350</v>
      </c>
      <c r="G11" s="10">
        <f aca="true" t="shared" si="0" ref="G11:G34">+E11/D11%</f>
        <v>102.45460001954189</v>
      </c>
      <c r="H11" s="10">
        <f aca="true" t="shared" si="1" ref="H11:H34">+F11/E11%</f>
        <v>68.59719752859351</v>
      </c>
      <c r="I11" s="10">
        <f aca="true" t="shared" si="2" ref="I11:I34">+F11/D11%</f>
        <v>70.28098435253557</v>
      </c>
    </row>
    <row r="12" spans="1:9" ht="15">
      <c r="A12" s="18">
        <v>2</v>
      </c>
      <c r="B12" s="8" t="s">
        <v>28</v>
      </c>
      <c r="C12" s="30"/>
      <c r="D12" s="14"/>
      <c r="E12" s="14"/>
      <c r="F12" s="10"/>
      <c r="G12" s="10"/>
      <c r="H12" s="10"/>
      <c r="I12" s="10"/>
    </row>
    <row r="13" spans="1:9" ht="15">
      <c r="A13" s="18">
        <v>3</v>
      </c>
      <c r="B13" s="8" t="s">
        <v>48</v>
      </c>
      <c r="C13" s="30"/>
      <c r="D13" s="14"/>
      <c r="E13" s="14"/>
      <c r="F13" s="10"/>
      <c r="G13" s="10"/>
      <c r="H13" s="10"/>
      <c r="I13" s="10"/>
    </row>
    <row r="14" spans="1:9" ht="15">
      <c r="A14" s="18">
        <v>4</v>
      </c>
      <c r="B14" s="8" t="s">
        <v>49</v>
      </c>
      <c r="C14" s="30"/>
      <c r="D14" s="14"/>
      <c r="E14" s="14"/>
      <c r="F14" s="10"/>
      <c r="G14" s="10"/>
      <c r="H14" s="10"/>
      <c r="I14" s="10"/>
    </row>
    <row r="15" spans="1:13" ht="15">
      <c r="A15" s="46" t="s">
        <v>6</v>
      </c>
      <c r="B15" s="7" t="s">
        <v>50</v>
      </c>
      <c r="C15" s="47">
        <f>+C16+C19+C22+C23+C24</f>
        <v>305358.680175</v>
      </c>
      <c r="D15" s="48">
        <f>+D16+D19+D22+D23+D24</f>
        <v>141345</v>
      </c>
      <c r="E15" s="48">
        <f>+E16+E19+E22+E23+E24</f>
        <v>225319.804678</v>
      </c>
      <c r="F15" s="48">
        <f>+F16+F19+F22+F23+F24</f>
        <v>124550</v>
      </c>
      <c r="G15" s="48">
        <f t="shared" si="0"/>
        <v>159.4112311563904</v>
      </c>
      <c r="H15" s="48">
        <f t="shared" si="1"/>
        <v>55.27698738155392</v>
      </c>
      <c r="I15" s="48">
        <f t="shared" si="2"/>
        <v>88.11772613109767</v>
      </c>
      <c r="J15" s="33">
        <f>+'30'!E15-'32'!M10</f>
        <v>0.04899999996996485</v>
      </c>
      <c r="K15" s="34">
        <f>+F25-F15</f>
        <v>-0.2579999999870779</v>
      </c>
      <c r="L15" s="32">
        <v>217820</v>
      </c>
      <c r="M15" s="34">
        <f>+'32'!E8-'30'!F15</f>
        <v>-0.2579999999870779</v>
      </c>
    </row>
    <row r="16" spans="1:10" ht="15">
      <c r="A16" s="46" t="s">
        <v>7</v>
      </c>
      <c r="B16" s="7" t="s">
        <v>51</v>
      </c>
      <c r="C16" s="47">
        <f>SUM(C17:C18)</f>
        <v>76517.771671</v>
      </c>
      <c r="D16" s="48">
        <f>SUM(D17:D18)</f>
        <v>54546</v>
      </c>
      <c r="E16" s="48">
        <f>SUM(E17:E18)</f>
        <v>46941.83</v>
      </c>
      <c r="F16" s="45">
        <f>SUM(F17:F18)</f>
        <v>26873.5</v>
      </c>
      <c r="G16" s="45">
        <f t="shared" si="0"/>
        <v>86.05916107505591</v>
      </c>
      <c r="H16" s="45">
        <f t="shared" si="1"/>
        <v>57.248513745629424</v>
      </c>
      <c r="I16" s="45">
        <f t="shared" si="2"/>
        <v>49.26759065742676</v>
      </c>
      <c r="J16" s="34">
        <f>+E16-'[3]31'!$F$9</f>
        <v>12779.340000000004</v>
      </c>
    </row>
    <row r="17" spans="1:12" ht="15">
      <c r="A17" s="18">
        <v>1</v>
      </c>
      <c r="B17" s="8" t="s">
        <v>52</v>
      </c>
      <c r="C17" s="30">
        <v>12868.49517</v>
      </c>
      <c r="D17" s="14">
        <f>40+500+500+105+12861</f>
        <v>14006</v>
      </c>
      <c r="E17" s="14">
        <v>1289</v>
      </c>
      <c r="F17" s="10">
        <v>13247</v>
      </c>
      <c r="G17" s="10">
        <f t="shared" si="0"/>
        <v>9.203198629158932</v>
      </c>
      <c r="H17" s="10">
        <f t="shared" si="1"/>
        <v>1027.6958882854926</v>
      </c>
      <c r="I17" s="10">
        <f t="shared" si="2"/>
        <v>94.58089390261317</v>
      </c>
      <c r="L17" s="35">
        <f>+E15-L15</f>
        <v>7499.804677999986</v>
      </c>
    </row>
    <row r="18" spans="1:11" ht="15">
      <c r="A18" s="18">
        <v>2</v>
      </c>
      <c r="B18" s="8" t="s">
        <v>53</v>
      </c>
      <c r="C18" s="30">
        <v>63649.276501</v>
      </c>
      <c r="D18" s="14">
        <f>54546-D17</f>
        <v>40540</v>
      </c>
      <c r="E18" s="14">
        <v>45652.83</v>
      </c>
      <c r="F18" s="10">
        <v>13626.5</v>
      </c>
      <c r="G18" s="10">
        <f t="shared" si="0"/>
        <v>112.61181549087323</v>
      </c>
      <c r="H18" s="10">
        <f t="shared" si="1"/>
        <v>29.848094849760685</v>
      </c>
      <c r="I18" s="10">
        <f t="shared" si="2"/>
        <v>33.61248149975333</v>
      </c>
      <c r="K18" s="32">
        <f>243.935+25.667</f>
        <v>269.602</v>
      </c>
    </row>
    <row r="19" spans="1:11" ht="15">
      <c r="A19" s="46" t="s">
        <v>27</v>
      </c>
      <c r="B19" s="7" t="s">
        <v>54</v>
      </c>
      <c r="C19" s="30">
        <f>SUM(C20:C21)</f>
        <v>152526.02000000002</v>
      </c>
      <c r="D19" s="14">
        <f>SUM(D20:D21)</f>
        <v>86799</v>
      </c>
      <c r="E19" s="14">
        <f>SUM(E20:E21)</f>
        <v>91799.65261399999</v>
      </c>
      <c r="F19" s="10">
        <f>SUM(F20:F21)</f>
        <v>97676.5</v>
      </c>
      <c r="G19" s="10">
        <f t="shared" si="0"/>
        <v>105.76118689616239</v>
      </c>
      <c r="H19" s="10">
        <f t="shared" si="1"/>
        <v>106.40181876364068</v>
      </c>
      <c r="I19" s="10">
        <f t="shared" si="2"/>
        <v>112.53182640352999</v>
      </c>
      <c r="K19" s="32">
        <f>225320-'32'!P108</f>
        <v>0.24432199998409487</v>
      </c>
    </row>
    <row r="20" spans="1:10" ht="15">
      <c r="A20" s="18">
        <v>1</v>
      </c>
      <c r="B20" s="8" t="s">
        <v>55</v>
      </c>
      <c r="C20" s="30">
        <v>63365</v>
      </c>
      <c r="D20" s="14">
        <v>60611</v>
      </c>
      <c r="E20" s="14">
        <f>+D20</f>
        <v>60611</v>
      </c>
      <c r="F20" s="26">
        <v>89889.5</v>
      </c>
      <c r="G20" s="26">
        <f t="shared" si="0"/>
        <v>100</v>
      </c>
      <c r="H20" s="26">
        <f t="shared" si="1"/>
        <v>148.30558809457028</v>
      </c>
      <c r="I20" s="26">
        <f t="shared" si="2"/>
        <v>148.30558809457028</v>
      </c>
      <c r="J20" s="34">
        <f>+'32'!E8-'30'!F16-'30'!F19</f>
        <v>-0.2579999999870779</v>
      </c>
    </row>
    <row r="21" spans="1:9" ht="15">
      <c r="A21" s="18">
        <v>2</v>
      </c>
      <c r="B21" s="8" t="s">
        <v>56</v>
      </c>
      <c r="C21" s="30">
        <v>89161.02</v>
      </c>
      <c r="D21" s="14">
        <v>26188</v>
      </c>
      <c r="E21" s="14">
        <f>31188.232614+0.42</f>
        <v>31188.652614</v>
      </c>
      <c r="F21" s="10">
        <v>7787</v>
      </c>
      <c r="G21" s="10">
        <f t="shared" si="0"/>
        <v>119.09520625477317</v>
      </c>
      <c r="H21" s="10">
        <f t="shared" si="1"/>
        <v>24.96741393856996</v>
      </c>
      <c r="I21" s="10">
        <f t="shared" si="2"/>
        <v>29.734993126622882</v>
      </c>
    </row>
    <row r="22" spans="1:9" ht="15">
      <c r="A22" s="46" t="s">
        <v>29</v>
      </c>
      <c r="B22" s="7" t="s">
        <v>57</v>
      </c>
      <c r="C22" s="30"/>
      <c r="D22" s="14"/>
      <c r="E22" s="14"/>
      <c r="F22" s="10"/>
      <c r="G22" s="10"/>
      <c r="H22" s="10"/>
      <c r="I22" s="10"/>
    </row>
    <row r="23" spans="1:9" ht="15">
      <c r="A23" s="46" t="s">
        <v>30</v>
      </c>
      <c r="B23" s="7" t="s">
        <v>58</v>
      </c>
      <c r="C23" s="30">
        <v>1370.311773</v>
      </c>
      <c r="D23" s="14"/>
      <c r="E23" s="14">
        <v>1987.440376</v>
      </c>
      <c r="F23" s="10"/>
      <c r="G23" s="10"/>
      <c r="H23" s="10"/>
      <c r="I23" s="10"/>
    </row>
    <row r="24" spans="1:10" ht="15">
      <c r="A24" s="46" t="s">
        <v>33</v>
      </c>
      <c r="B24" s="7" t="s">
        <v>59</v>
      </c>
      <c r="C24" s="30">
        <v>74944.576731</v>
      </c>
      <c r="D24" s="14"/>
      <c r="E24" s="14">
        <v>84590.881688</v>
      </c>
      <c r="F24" s="10"/>
      <c r="G24" s="10"/>
      <c r="H24" s="10"/>
      <c r="I24" s="10"/>
      <c r="J24" s="34">
        <f>+E15-E25</f>
        <v>0.04899999996996485</v>
      </c>
    </row>
    <row r="25" spans="1:11" ht="15">
      <c r="A25" s="46" t="s">
        <v>43</v>
      </c>
      <c r="B25" s="7" t="s">
        <v>60</v>
      </c>
      <c r="C25" s="47">
        <f>+C26+C32+C36+C37</f>
        <v>303394.40879899997</v>
      </c>
      <c r="D25" s="48">
        <f>+D26+D32+D36+D37</f>
        <v>141345</v>
      </c>
      <c r="E25" s="48">
        <f>+E26+E32+E36+E37</f>
        <v>225319.75567800002</v>
      </c>
      <c r="F25" s="48">
        <f>+F26+F32+F36+F37</f>
        <v>124549.74200000001</v>
      </c>
      <c r="G25" s="48">
        <f t="shared" si="0"/>
        <v>159.41119648944073</v>
      </c>
      <c r="H25" s="48">
        <f t="shared" si="1"/>
        <v>55.27688489862894</v>
      </c>
      <c r="I25" s="48">
        <f t="shared" si="2"/>
        <v>88.11754359899537</v>
      </c>
      <c r="J25" s="32">
        <f>337382.366176-33987.957377</f>
        <v>303394.40879899997</v>
      </c>
      <c r="K25" s="35">
        <f>225320-E25</f>
        <v>0.24432199998409487</v>
      </c>
    </row>
    <row r="26" spans="1:9" ht="15">
      <c r="A26" s="46" t="s">
        <v>7</v>
      </c>
      <c r="B26" s="7" t="s">
        <v>61</v>
      </c>
      <c r="C26" s="47">
        <f>SUM(C27:C31)</f>
        <v>121485.072571</v>
      </c>
      <c r="D26" s="48">
        <f>SUM(D27:D31)</f>
        <v>115157</v>
      </c>
      <c r="E26" s="48">
        <f>SUM(E27:E31)</f>
        <v>112605.27</v>
      </c>
      <c r="F26" s="45">
        <f>SUM(F27:F31)</f>
        <v>116762.74200000001</v>
      </c>
      <c r="G26" s="45">
        <f t="shared" si="0"/>
        <v>97.78412949277943</v>
      </c>
      <c r="H26" s="45">
        <f t="shared" si="1"/>
        <v>103.69207586820761</v>
      </c>
      <c r="I26" s="45">
        <f t="shared" si="2"/>
        <v>101.39439374071921</v>
      </c>
    </row>
    <row r="27" spans="1:10" ht="15">
      <c r="A27" s="18">
        <v>1</v>
      </c>
      <c r="B27" s="8" t="s">
        <v>62</v>
      </c>
      <c r="C27" s="30">
        <f>105762.295348-59019.355</f>
        <v>46742.940348</v>
      </c>
      <c r="D27" s="14">
        <v>39746.58</v>
      </c>
      <c r="E27" s="14">
        <f>+'32'!D11</f>
        <v>35220</v>
      </c>
      <c r="F27" s="10">
        <f>+'32'!E11</f>
        <v>10326</v>
      </c>
      <c r="G27" s="10">
        <f t="shared" si="0"/>
        <v>88.61139750891775</v>
      </c>
      <c r="H27" s="10">
        <f t="shared" si="1"/>
        <v>29.31856899488927</v>
      </c>
      <c r="I27" s="10">
        <f t="shared" si="2"/>
        <v>25.97959371598764</v>
      </c>
      <c r="J27" s="34">
        <f>+D27-'32'!C13</f>
        <v>0</v>
      </c>
    </row>
    <row r="28" spans="1:11" ht="15">
      <c r="A28" s="18">
        <v>2</v>
      </c>
      <c r="B28" s="8" t="s">
        <v>37</v>
      </c>
      <c r="C28" s="30">
        <f>109714.602223-34972.47</f>
        <v>74742.132223</v>
      </c>
      <c r="D28" s="14">
        <v>73020</v>
      </c>
      <c r="E28" s="14">
        <f>+'32'!D39</f>
        <v>77385.27</v>
      </c>
      <c r="F28" s="10">
        <f>+'32'!E39</f>
        <v>104101.74200000001</v>
      </c>
      <c r="G28" s="10">
        <f t="shared" si="0"/>
        <v>105.97818405916188</v>
      </c>
      <c r="H28" s="10">
        <f t="shared" si="1"/>
        <v>134.52397594529296</v>
      </c>
      <c r="I28" s="10">
        <f t="shared" si="2"/>
        <v>142.5660668310052</v>
      </c>
      <c r="K28" s="34">
        <f>+F27+F35-11039+'32'!E61+'32'!E62+'32'!E63+'32'!E64</f>
        <v>6287</v>
      </c>
    </row>
    <row r="29" spans="1:11" ht="15">
      <c r="A29" s="18">
        <v>3</v>
      </c>
      <c r="B29" s="8" t="s">
        <v>63</v>
      </c>
      <c r="C29" s="30"/>
      <c r="D29" s="14"/>
      <c r="E29" s="14"/>
      <c r="F29" s="10"/>
      <c r="G29" s="10"/>
      <c r="H29" s="10"/>
      <c r="I29" s="10"/>
      <c r="K29" s="34">
        <f>+F30</f>
        <v>2335</v>
      </c>
    </row>
    <row r="30" spans="1:11" ht="15">
      <c r="A30" s="18">
        <v>4</v>
      </c>
      <c r="B30" s="8" t="s">
        <v>64</v>
      </c>
      <c r="C30" s="30"/>
      <c r="D30" s="14">
        <v>2390.42</v>
      </c>
      <c r="E30" s="14"/>
      <c r="F30" s="10">
        <f>+'32'!E55</f>
        <v>2335</v>
      </c>
      <c r="G30" s="10">
        <f t="shared" si="0"/>
        <v>0</v>
      </c>
      <c r="H30" s="10"/>
      <c r="I30" s="10">
        <f t="shared" si="2"/>
        <v>97.68157896938614</v>
      </c>
      <c r="K30" s="34">
        <f>+F25-K28-K29</f>
        <v>115927.74200000001</v>
      </c>
    </row>
    <row r="31" spans="1:9" ht="15">
      <c r="A31" s="18">
        <v>5</v>
      </c>
      <c r="B31" s="8" t="s">
        <v>65</v>
      </c>
      <c r="C31" s="30"/>
      <c r="D31" s="14"/>
      <c r="E31" s="14"/>
      <c r="F31" s="10"/>
      <c r="G31" s="10"/>
      <c r="H31" s="10"/>
      <c r="I31" s="10"/>
    </row>
    <row r="32" spans="1:11" ht="15">
      <c r="A32" s="46" t="s">
        <v>27</v>
      </c>
      <c r="B32" s="7" t="s">
        <v>66</v>
      </c>
      <c r="C32" s="47">
        <f>+C33+C34+C35</f>
        <v>93991.82500000001</v>
      </c>
      <c r="D32" s="48">
        <f>+D33+D34+D35</f>
        <v>26188</v>
      </c>
      <c r="E32" s="48">
        <f>+E33+E34+E35</f>
        <v>52708.56357</v>
      </c>
      <c r="F32" s="19">
        <f>+F33+F34+F35</f>
        <v>7787</v>
      </c>
      <c r="G32" s="19">
        <f t="shared" si="0"/>
        <v>201.26990824041545</v>
      </c>
      <c r="H32" s="19">
        <f t="shared" si="1"/>
        <v>14.773690407363153</v>
      </c>
      <c r="I32" s="19">
        <f t="shared" si="2"/>
        <v>29.734993126622882</v>
      </c>
      <c r="J32" s="32" t="s">
        <v>217</v>
      </c>
      <c r="K32" s="36">
        <f>31016.778679+2567.825+25434.751</f>
        <v>59019.354679</v>
      </c>
    </row>
    <row r="33" spans="1:11" ht="15">
      <c r="A33" s="18">
        <v>1</v>
      </c>
      <c r="B33" s="8" t="s">
        <v>67</v>
      </c>
      <c r="C33" s="30">
        <f>93991.825-C34-C35</f>
        <v>46097.671963</v>
      </c>
      <c r="D33" s="14">
        <f>+'32'!C60</f>
        <v>22150</v>
      </c>
      <c r="E33" s="14">
        <f>+'32'!D60</f>
        <v>48647.56357</v>
      </c>
      <c r="F33" s="14">
        <f>+'32'!E60</f>
        <v>7787</v>
      </c>
      <c r="G33" s="14">
        <f t="shared" si="0"/>
        <v>219.62782650112865</v>
      </c>
      <c r="H33" s="14">
        <f t="shared" si="1"/>
        <v>16.006968136842296</v>
      </c>
      <c r="I33" s="14">
        <f t="shared" si="2"/>
        <v>35.15575620767494</v>
      </c>
      <c r="K33" s="36">
        <f>+C32-K32</f>
        <v>34972.470321000015</v>
      </c>
    </row>
    <row r="34" spans="1:9" ht="15">
      <c r="A34" s="18">
        <v>2</v>
      </c>
      <c r="B34" s="8" t="s">
        <v>68</v>
      </c>
      <c r="C34" s="30">
        <v>3445.442</v>
      </c>
      <c r="D34" s="14">
        <f>+'32'!C95</f>
        <v>4038</v>
      </c>
      <c r="E34" s="14">
        <f>+'32'!D95</f>
        <v>4061</v>
      </c>
      <c r="F34" s="14">
        <f>+'32'!E95</f>
        <v>0</v>
      </c>
      <c r="G34" s="14">
        <f t="shared" si="0"/>
        <v>100.5695889053987</v>
      </c>
      <c r="H34" s="14">
        <f t="shared" si="1"/>
        <v>0</v>
      </c>
      <c r="I34" s="14">
        <f t="shared" si="2"/>
        <v>0</v>
      </c>
    </row>
    <row r="35" spans="1:9" ht="15">
      <c r="A35" s="18">
        <v>3</v>
      </c>
      <c r="B35" s="8" t="s">
        <v>69</v>
      </c>
      <c r="C35" s="30">
        <f>35643.296939+8805.414098</f>
        <v>44448.711037</v>
      </c>
      <c r="D35" s="14"/>
      <c r="E35" s="14"/>
      <c r="F35" s="14">
        <f>+'32'!E58</f>
        <v>0</v>
      </c>
      <c r="G35" s="14"/>
      <c r="H35" s="14"/>
      <c r="I35" s="14"/>
    </row>
    <row r="36" spans="1:10" ht="15">
      <c r="A36" s="46" t="s">
        <v>29</v>
      </c>
      <c r="B36" s="7" t="s">
        <v>70</v>
      </c>
      <c r="C36" s="47">
        <v>84590.881688</v>
      </c>
      <c r="D36" s="14"/>
      <c r="E36" s="48">
        <f>+'32'!D108</f>
        <v>55505.922108</v>
      </c>
      <c r="F36" s="10"/>
      <c r="G36" s="10"/>
      <c r="H36" s="10"/>
      <c r="I36" s="10"/>
      <c r="J36" s="37">
        <f>+E15-E25</f>
        <v>0.04899999996996485</v>
      </c>
    </row>
    <row r="37" spans="1:25" s="17" customFormat="1" ht="15">
      <c r="A37" s="46" t="s">
        <v>30</v>
      </c>
      <c r="B37" s="7" t="s">
        <v>207</v>
      </c>
      <c r="C37" s="47">
        <v>3326.62954</v>
      </c>
      <c r="D37" s="48"/>
      <c r="E37" s="48">
        <f>+'32'!D106</f>
        <v>4500</v>
      </c>
      <c r="F37" s="45"/>
      <c r="G37" s="45"/>
      <c r="H37" s="45"/>
      <c r="I37" s="45"/>
      <c r="J37" s="38"/>
      <c r="K37" s="38"/>
      <c r="L37" s="38"/>
      <c r="M37" s="38"/>
      <c r="N37" s="38"/>
      <c r="O37" s="38"/>
      <c r="P37" s="38"/>
      <c r="Q37" s="38"/>
      <c r="R37" s="38"/>
      <c r="S37" s="38"/>
      <c r="T37" s="38"/>
      <c r="U37" s="38"/>
      <c r="V37" s="38"/>
      <c r="W37" s="38"/>
      <c r="X37" s="38"/>
      <c r="Y37" s="38"/>
    </row>
    <row r="38" ht="15">
      <c r="A38" s="6"/>
    </row>
    <row r="39" ht="15">
      <c r="A39" s="6"/>
    </row>
    <row r="40" spans="1:9" ht="15">
      <c r="A40" s="107"/>
      <c r="D40" s="104"/>
      <c r="E40" s="104"/>
      <c r="F40" s="104"/>
      <c r="G40" s="21"/>
      <c r="H40" s="21"/>
      <c r="I40" s="21"/>
    </row>
    <row r="41" spans="1:9" ht="15">
      <c r="A41" s="107"/>
      <c r="D41" s="108"/>
      <c r="E41" s="108"/>
      <c r="F41" s="108"/>
      <c r="G41" s="22"/>
      <c r="H41" s="22"/>
      <c r="I41" s="22"/>
    </row>
    <row r="42" spans="1:9" ht="15">
      <c r="A42" s="107"/>
      <c r="D42" s="108"/>
      <c r="E42" s="108"/>
      <c r="F42" s="108"/>
      <c r="G42" s="22"/>
      <c r="H42" s="22"/>
      <c r="I42" s="22"/>
    </row>
    <row r="43" spans="1:9" ht="15">
      <c r="A43" s="107"/>
      <c r="D43" s="104"/>
      <c r="E43" s="104"/>
      <c r="F43" s="104"/>
      <c r="G43" s="21"/>
      <c r="H43" s="21"/>
      <c r="I43" s="21"/>
    </row>
  </sheetData>
  <sheetProtection/>
  <mergeCells count="15">
    <mergeCell ref="F7:F8"/>
    <mergeCell ref="A40:A43"/>
    <mergeCell ref="D43:F43"/>
    <mergeCell ref="D41:F41"/>
    <mergeCell ref="D42:F42"/>
    <mergeCell ref="G7:I7"/>
    <mergeCell ref="A3:I3"/>
    <mergeCell ref="A4:I4"/>
    <mergeCell ref="D1:I1"/>
    <mergeCell ref="F6:I6"/>
    <mergeCell ref="D40:F40"/>
    <mergeCell ref="A7:A8"/>
    <mergeCell ref="B7:B8"/>
    <mergeCell ref="C7:C8"/>
    <mergeCell ref="D7:E7"/>
  </mergeCells>
  <hyperlinks>
    <hyperlink ref="D1:F1" location="'PL tong hop'!A1" display="Mẫu biểu số 29.1/TT342"/>
  </hyperlinks>
  <printOptions/>
  <pageMargins left="0.708661417322835" right="0.708661417322835" top="0.748031496062992" bottom="0.748031496062992" header="0.31496062992126" footer="0.31496062992126"/>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rgb="FFFF0000"/>
  </sheetPr>
  <dimension ref="A1:AE88"/>
  <sheetViews>
    <sheetView showGridLines="0" zoomScalePageLayoutView="0" workbookViewId="0" topLeftCell="A1">
      <selection activeCell="C6" sqref="C6:C7"/>
    </sheetView>
  </sheetViews>
  <sheetFormatPr defaultColWidth="9.140625" defaultRowHeight="15"/>
  <cols>
    <col min="1" max="1" width="6.28125" style="0" customWidth="1"/>
    <col min="2" max="2" width="41.7109375" style="0" customWidth="1"/>
    <col min="3" max="3" width="14.00390625" style="0" customWidth="1"/>
    <col min="4" max="4" width="11.8515625" style="16" customWidth="1"/>
    <col min="5" max="5" width="12.421875" style="16" customWidth="1"/>
    <col min="6" max="6" width="11.8515625" style="16" customWidth="1"/>
    <col min="7" max="7" width="13.00390625" style="16" customWidth="1"/>
    <col min="8" max="8" width="11.8515625" style="16" customWidth="1"/>
    <col min="9" max="9" width="13.00390625" style="16" customWidth="1"/>
    <col min="10" max="12" width="11.00390625" style="20" customWidth="1"/>
    <col min="13" max="13" width="10.8515625" style="20" customWidth="1"/>
    <col min="14" max="14" width="11.140625" style="20" customWidth="1"/>
    <col min="15" max="23" width="9.140625" style="32" hidden="1" customWidth="1"/>
    <col min="24" max="24" width="12.7109375" style="32" hidden="1" customWidth="1"/>
    <col min="25" max="31" width="9.140625" style="32" hidden="1" customWidth="1"/>
  </cols>
  <sheetData>
    <row r="1" spans="1:31" s="1" customFormat="1" ht="15">
      <c r="A1" s="3"/>
      <c r="D1" s="15"/>
      <c r="E1" s="15"/>
      <c r="F1" s="15"/>
      <c r="G1" s="15"/>
      <c r="H1" s="111" t="s">
        <v>170</v>
      </c>
      <c r="I1" s="111"/>
      <c r="J1" s="111"/>
      <c r="K1" s="111"/>
      <c r="L1" s="111"/>
      <c r="M1" s="111"/>
      <c r="N1" s="111"/>
      <c r="O1" s="31"/>
      <c r="P1" s="31"/>
      <c r="Q1" s="31"/>
      <c r="R1" s="31"/>
      <c r="S1" s="31"/>
      <c r="T1" s="31"/>
      <c r="U1" s="31"/>
      <c r="V1" s="31"/>
      <c r="W1" s="31"/>
      <c r="X1" s="31"/>
      <c r="Y1" s="31"/>
      <c r="Z1" s="31"/>
      <c r="AA1" s="31"/>
      <c r="AB1" s="31"/>
      <c r="AC1" s="31"/>
      <c r="AD1" s="31"/>
      <c r="AE1" s="31"/>
    </row>
    <row r="2" ht="15">
      <c r="A2" s="4"/>
    </row>
    <row r="3" spans="1:14" ht="15">
      <c r="A3" s="100" t="s">
        <v>166</v>
      </c>
      <c r="B3" s="100"/>
      <c r="C3" s="100"/>
      <c r="D3" s="100"/>
      <c r="E3" s="100"/>
      <c r="F3" s="100"/>
      <c r="G3" s="100"/>
      <c r="H3" s="100"/>
      <c r="I3" s="100"/>
      <c r="J3" s="100"/>
      <c r="K3" s="100"/>
      <c r="L3" s="100"/>
      <c r="M3" s="100"/>
      <c r="N3" s="100"/>
    </row>
    <row r="4" spans="1:18" ht="15">
      <c r="A4" s="101" t="str">
        <f>+'30'!A4:F4</f>
        <v>(Kèm theo Báo cáo        /BC-UBND ngày       tháng       năm 2021 của Ủy ban nhân dân huyện Ia H'Drai)</v>
      </c>
      <c r="B4" s="101"/>
      <c r="C4" s="101"/>
      <c r="D4" s="101"/>
      <c r="E4" s="101"/>
      <c r="F4" s="101"/>
      <c r="G4" s="101"/>
      <c r="H4" s="101"/>
      <c r="I4" s="101"/>
      <c r="J4" s="101"/>
      <c r="K4" s="101"/>
      <c r="L4" s="101"/>
      <c r="M4" s="101"/>
      <c r="N4" s="101"/>
      <c r="R4" s="32">
        <f>11000*0.002</f>
        <v>22</v>
      </c>
    </row>
    <row r="5" spans="9:14" ht="15">
      <c r="I5" s="112" t="s">
        <v>0</v>
      </c>
      <c r="J5" s="112"/>
      <c r="K5" s="112"/>
      <c r="L5" s="112"/>
      <c r="M5" s="112"/>
      <c r="N5" s="112"/>
    </row>
    <row r="6" spans="1:14" ht="31.5" customHeight="1">
      <c r="A6" s="105" t="s">
        <v>1</v>
      </c>
      <c r="B6" s="105" t="s">
        <v>2</v>
      </c>
      <c r="C6" s="105" t="s">
        <v>225</v>
      </c>
      <c r="D6" s="106" t="s">
        <v>226</v>
      </c>
      <c r="E6" s="106"/>
      <c r="F6" s="106" t="s">
        <v>238</v>
      </c>
      <c r="G6" s="106"/>
      <c r="H6" s="106" t="s">
        <v>163</v>
      </c>
      <c r="I6" s="106"/>
      <c r="J6" s="106" t="s">
        <v>221</v>
      </c>
      <c r="K6" s="106"/>
      <c r="L6" s="106"/>
      <c r="M6" s="106"/>
      <c r="N6" s="106"/>
    </row>
    <row r="7" spans="1:16" ht="124.5">
      <c r="A7" s="105"/>
      <c r="B7" s="105"/>
      <c r="C7" s="105"/>
      <c r="D7" s="49" t="s">
        <v>72</v>
      </c>
      <c r="E7" s="49" t="s">
        <v>167</v>
      </c>
      <c r="F7" s="49" t="s">
        <v>72</v>
      </c>
      <c r="G7" s="49" t="s">
        <v>167</v>
      </c>
      <c r="H7" s="49" t="s">
        <v>73</v>
      </c>
      <c r="I7" s="49" t="s">
        <v>167</v>
      </c>
      <c r="J7" s="49" t="s">
        <v>222</v>
      </c>
      <c r="K7" s="49" t="s">
        <v>227</v>
      </c>
      <c r="L7" s="49" t="s">
        <v>228</v>
      </c>
      <c r="M7" s="49" t="s">
        <v>223</v>
      </c>
      <c r="N7" s="49" t="s">
        <v>224</v>
      </c>
      <c r="P7" s="32">
        <f>925-300</f>
        <v>625</v>
      </c>
    </row>
    <row r="8" spans="1:14" ht="15" hidden="1">
      <c r="A8" s="18" t="s">
        <v>5</v>
      </c>
      <c r="B8" s="18" t="s">
        <v>6</v>
      </c>
      <c r="C8" s="18"/>
      <c r="D8" s="14">
        <v>1</v>
      </c>
      <c r="E8" s="14">
        <v>2</v>
      </c>
      <c r="F8" s="14">
        <v>3</v>
      </c>
      <c r="G8" s="14">
        <v>4</v>
      </c>
      <c r="H8" s="14">
        <v>5</v>
      </c>
      <c r="I8" s="14">
        <v>6</v>
      </c>
      <c r="J8" s="14"/>
      <c r="K8" s="14"/>
      <c r="L8" s="14"/>
      <c r="M8" s="14"/>
      <c r="N8" s="14"/>
    </row>
    <row r="9" spans="1:24" ht="30.75">
      <c r="A9" s="46"/>
      <c r="B9" s="46" t="s">
        <v>74</v>
      </c>
      <c r="C9" s="48">
        <f>+C10+C76+C77</f>
        <v>39280</v>
      </c>
      <c r="D9" s="48">
        <f aca="true" t="shared" si="0" ref="D9:I9">+D10+D76+D77</f>
        <v>71641</v>
      </c>
      <c r="E9" s="48">
        <f t="shared" si="0"/>
        <v>71641</v>
      </c>
      <c r="F9" s="48">
        <f t="shared" si="0"/>
        <v>73399.5</v>
      </c>
      <c r="G9" s="48">
        <f>+G10+G76+G77</f>
        <v>73399.5</v>
      </c>
      <c r="H9" s="48">
        <f t="shared" si="0"/>
        <v>50350</v>
      </c>
      <c r="I9" s="48">
        <f t="shared" si="0"/>
        <v>50350</v>
      </c>
      <c r="J9" s="48">
        <f>+F9/D9%</f>
        <v>102.45460001954189</v>
      </c>
      <c r="K9" s="48">
        <f>+F9/C9%</f>
        <v>186.86227087576376</v>
      </c>
      <c r="L9" s="48">
        <f>+H9/C9%</f>
        <v>128.18228105906314</v>
      </c>
      <c r="M9" s="48">
        <f>+H9/D9%</f>
        <v>70.28098435253557</v>
      </c>
      <c r="N9" s="48">
        <f>+H9/F9%</f>
        <v>68.59719752859351</v>
      </c>
      <c r="O9" s="39">
        <f>+F9-F11-F19-F37-F43-F46-F50-F54</f>
        <v>7994</v>
      </c>
      <c r="R9" s="32">
        <f>72-26</f>
        <v>46</v>
      </c>
      <c r="W9" s="32">
        <v>52392.5</v>
      </c>
      <c r="X9" s="32">
        <f>2945-2902</f>
        <v>43</v>
      </c>
    </row>
    <row r="10" spans="1:23" ht="15">
      <c r="A10" s="46" t="s">
        <v>7</v>
      </c>
      <c r="B10" s="7" t="s">
        <v>75</v>
      </c>
      <c r="C10" s="48">
        <f>+C11+C19+C25+C37+C43+C44+C45+C46+C47+C50+C54+C57+C58+C61+C64+C67+C68+C70+C73+C74+C75</f>
        <v>39280</v>
      </c>
      <c r="D10" s="48">
        <f aca="true" t="shared" si="1" ref="D10:I10">+D11+D19+D25+D37+D43+D44+D45+D46+D47+D50+D54+D57+D58+D61+D64+D67+D68+D70+D73+D74+D75</f>
        <v>71641</v>
      </c>
      <c r="E10" s="48">
        <f t="shared" si="1"/>
        <v>71641</v>
      </c>
      <c r="F10" s="48">
        <f>+F11+F19+F25+F37+F43+F44+F45+F46+F47+F50+F54+F57+F58+F61+F64+F67+F68+F70+F73+F74+F75</f>
        <v>73399.5</v>
      </c>
      <c r="G10" s="48">
        <f t="shared" si="1"/>
        <v>73399.5</v>
      </c>
      <c r="H10" s="48">
        <f t="shared" si="1"/>
        <v>50350</v>
      </c>
      <c r="I10" s="48">
        <f t="shared" si="1"/>
        <v>50350</v>
      </c>
      <c r="J10" s="48">
        <f>+F10/D10%</f>
        <v>102.45460001954189</v>
      </c>
      <c r="K10" s="48">
        <f>+F10/C10%</f>
        <v>186.86227087576376</v>
      </c>
      <c r="L10" s="48">
        <f>+H10/C10%</f>
        <v>128.18228105906314</v>
      </c>
      <c r="M10" s="48">
        <f>+H10/D10%</f>
        <v>70.28098435253557</v>
      </c>
      <c r="N10" s="48">
        <f>+H10/F10%</f>
        <v>68.59719752859351</v>
      </c>
      <c r="O10" s="35">
        <f>+F57+F70+F68</f>
        <v>7980</v>
      </c>
      <c r="R10" s="32">
        <f>52-6</f>
        <v>46</v>
      </c>
      <c r="W10" s="35">
        <f>+G9-W9</f>
        <v>21007</v>
      </c>
    </row>
    <row r="11" spans="1:24" ht="30.75">
      <c r="A11" s="46">
        <v>1</v>
      </c>
      <c r="B11" s="7" t="s">
        <v>10</v>
      </c>
      <c r="C11" s="48">
        <f>+C12+C14+C15+C17</f>
        <v>7610</v>
      </c>
      <c r="D11" s="48">
        <f aca="true" t="shared" si="2" ref="D11:I11">+D12+D14+D15+D17</f>
        <v>7610</v>
      </c>
      <c r="E11" s="48">
        <f t="shared" si="2"/>
        <v>7610</v>
      </c>
      <c r="F11" s="48">
        <f t="shared" si="2"/>
        <v>15460.5</v>
      </c>
      <c r="G11" s="48">
        <f t="shared" si="2"/>
        <v>15460.5</v>
      </c>
      <c r="H11" s="48">
        <f t="shared" si="2"/>
        <v>10000</v>
      </c>
      <c r="I11" s="48">
        <f t="shared" si="2"/>
        <v>10000</v>
      </c>
      <c r="J11" s="48">
        <f>+F11/D11%</f>
        <v>203.16031537450723</v>
      </c>
      <c r="K11" s="48">
        <f>+F11/C11%</f>
        <v>203.16031537450723</v>
      </c>
      <c r="L11" s="48">
        <f>+H11/C11%</f>
        <v>131.4060446780552</v>
      </c>
      <c r="M11" s="48">
        <f>+H11/D11%</f>
        <v>131.4060446780552</v>
      </c>
      <c r="N11" s="48">
        <f>+H11/F11%</f>
        <v>64.68096115908283</v>
      </c>
      <c r="O11" s="40">
        <f>3580+2026</f>
        <v>5606</v>
      </c>
      <c r="X11" s="41">
        <f>5755668207-5713522000</f>
        <v>42146207</v>
      </c>
    </row>
    <row r="12" spans="1:15" ht="15">
      <c r="A12" s="18"/>
      <c r="B12" s="8" t="s">
        <v>76</v>
      </c>
      <c r="C12" s="14">
        <v>7610</v>
      </c>
      <c r="D12" s="14">
        <v>7610</v>
      </c>
      <c r="E12" s="14">
        <f>+D12</f>
        <v>7610</v>
      </c>
      <c r="F12" s="14">
        <v>8960</v>
      </c>
      <c r="G12" s="14">
        <f>+F12</f>
        <v>8960</v>
      </c>
      <c r="H12" s="14">
        <v>10000</v>
      </c>
      <c r="I12" s="14">
        <f>+H12</f>
        <v>10000</v>
      </c>
      <c r="J12" s="14">
        <f>+F12/D12%</f>
        <v>117.73981603153746</v>
      </c>
      <c r="K12" s="14">
        <f>+F12/C12%</f>
        <v>117.73981603153746</v>
      </c>
      <c r="L12" s="14">
        <f>+H12/C12%</f>
        <v>131.4060446780552</v>
      </c>
      <c r="M12" s="14">
        <f>+H12/D12%</f>
        <v>131.4060446780552</v>
      </c>
      <c r="N12" s="14">
        <f>+H12/F12%</f>
        <v>111.60714285714286</v>
      </c>
      <c r="O12" s="35">
        <f>6381-O11</f>
        <v>775</v>
      </c>
    </row>
    <row r="13" spans="1:14" ht="30.75">
      <c r="A13" s="18"/>
      <c r="B13" s="5" t="s">
        <v>77</v>
      </c>
      <c r="C13" s="14"/>
      <c r="D13" s="14"/>
      <c r="E13" s="14">
        <f aca="true" t="shared" si="3" ref="E13:E76">+D13</f>
        <v>0</v>
      </c>
      <c r="F13" s="14"/>
      <c r="G13" s="14">
        <f aca="true" t="shared" si="4" ref="G13:G76">+F13</f>
        <v>0</v>
      </c>
      <c r="H13" s="14"/>
      <c r="I13" s="14">
        <f aca="true" t="shared" si="5" ref="I13:I76">+H13</f>
        <v>0</v>
      </c>
      <c r="J13" s="14"/>
      <c r="K13" s="14"/>
      <c r="L13" s="14"/>
      <c r="M13" s="14"/>
      <c r="N13" s="14"/>
    </row>
    <row r="14" spans="1:14" ht="15">
      <c r="A14" s="18"/>
      <c r="B14" s="8" t="s">
        <v>78</v>
      </c>
      <c r="C14" s="14"/>
      <c r="D14" s="14"/>
      <c r="E14" s="14">
        <f t="shared" si="3"/>
        <v>0</v>
      </c>
      <c r="F14" s="14">
        <v>0.5</v>
      </c>
      <c r="G14" s="14">
        <f t="shared" si="4"/>
        <v>0.5</v>
      </c>
      <c r="H14" s="14"/>
      <c r="I14" s="14">
        <f t="shared" si="5"/>
        <v>0</v>
      </c>
      <c r="J14" s="14"/>
      <c r="K14" s="14"/>
      <c r="L14" s="14"/>
      <c r="M14" s="14"/>
      <c r="N14" s="14"/>
    </row>
    <row r="15" spans="1:14" ht="15">
      <c r="A15" s="18"/>
      <c r="B15" s="8" t="s">
        <v>16</v>
      </c>
      <c r="C15" s="14"/>
      <c r="D15" s="14"/>
      <c r="E15" s="14">
        <f t="shared" si="3"/>
        <v>0</v>
      </c>
      <c r="F15" s="14"/>
      <c r="G15" s="14">
        <f t="shared" si="4"/>
        <v>0</v>
      </c>
      <c r="H15" s="14"/>
      <c r="I15" s="14">
        <f t="shared" si="5"/>
        <v>0</v>
      </c>
      <c r="J15" s="14"/>
      <c r="K15" s="14"/>
      <c r="L15" s="14"/>
      <c r="M15" s="14"/>
      <c r="N15" s="14"/>
    </row>
    <row r="16" spans="1:14" ht="30.75">
      <c r="A16" s="18"/>
      <c r="B16" s="5" t="s">
        <v>79</v>
      </c>
      <c r="C16" s="14"/>
      <c r="D16" s="14"/>
      <c r="E16" s="14">
        <f t="shared" si="3"/>
        <v>0</v>
      </c>
      <c r="F16" s="14"/>
      <c r="G16" s="14">
        <f t="shared" si="4"/>
        <v>0</v>
      </c>
      <c r="H16" s="14"/>
      <c r="I16" s="14">
        <f t="shared" si="5"/>
        <v>0</v>
      </c>
      <c r="J16" s="14"/>
      <c r="K16" s="14"/>
      <c r="L16" s="14"/>
      <c r="M16" s="14"/>
      <c r="N16" s="14"/>
    </row>
    <row r="17" spans="1:14" ht="15">
      <c r="A17" s="18"/>
      <c r="B17" s="8" t="s">
        <v>13</v>
      </c>
      <c r="C17" s="14"/>
      <c r="D17" s="14"/>
      <c r="E17" s="14">
        <f t="shared" si="3"/>
        <v>0</v>
      </c>
      <c r="F17" s="14">
        <v>6500</v>
      </c>
      <c r="G17" s="14">
        <f t="shared" si="4"/>
        <v>6500</v>
      </c>
      <c r="H17" s="14"/>
      <c r="I17" s="14">
        <f t="shared" si="5"/>
        <v>0</v>
      </c>
      <c r="J17" s="14"/>
      <c r="K17" s="14"/>
      <c r="L17" s="14"/>
      <c r="M17" s="14"/>
      <c r="N17" s="14"/>
    </row>
    <row r="18" spans="1:14" ht="15">
      <c r="A18" s="18"/>
      <c r="B18" s="5" t="s">
        <v>80</v>
      </c>
      <c r="C18" s="14"/>
      <c r="D18" s="14"/>
      <c r="E18" s="14">
        <f t="shared" si="3"/>
        <v>0</v>
      </c>
      <c r="F18" s="14"/>
      <c r="G18" s="14">
        <f t="shared" si="4"/>
        <v>0</v>
      </c>
      <c r="H18" s="14"/>
      <c r="I18" s="14">
        <f t="shared" si="5"/>
        <v>0</v>
      </c>
      <c r="J18" s="14"/>
      <c r="K18" s="14"/>
      <c r="L18" s="14"/>
      <c r="M18" s="14"/>
      <c r="N18" s="14"/>
    </row>
    <row r="19" spans="1:14" ht="30.75">
      <c r="A19" s="46">
        <v>2</v>
      </c>
      <c r="B19" s="7" t="s">
        <v>81</v>
      </c>
      <c r="C19" s="48">
        <f>+C20+C21+C22+C24</f>
        <v>4020</v>
      </c>
      <c r="D19" s="48">
        <f>+D20+D21+D22+D24</f>
        <v>4020</v>
      </c>
      <c r="E19" s="48">
        <f t="shared" si="3"/>
        <v>4020</v>
      </c>
      <c r="F19" s="48">
        <f>+F20+F21+F22+F24</f>
        <v>7684</v>
      </c>
      <c r="G19" s="48">
        <f t="shared" si="4"/>
        <v>7684</v>
      </c>
      <c r="H19" s="48">
        <f>+H20+H21+H22+H24</f>
        <v>9210</v>
      </c>
      <c r="I19" s="48">
        <f t="shared" si="5"/>
        <v>9210</v>
      </c>
      <c r="J19" s="48">
        <f>+F19/D19%</f>
        <v>191.14427860696517</v>
      </c>
      <c r="K19" s="48">
        <f>+F19/C19%</f>
        <v>191.14427860696517</v>
      </c>
      <c r="L19" s="48">
        <f>+H19/C19%</f>
        <v>229.10447761194027</v>
      </c>
      <c r="M19" s="48">
        <f>+H19/D19%</f>
        <v>229.10447761194027</v>
      </c>
      <c r="N19" s="48">
        <f>+H19/F19%</f>
        <v>119.85944820406039</v>
      </c>
    </row>
    <row r="20" spans="1:14" ht="15">
      <c r="A20" s="18"/>
      <c r="B20" s="8" t="s">
        <v>76</v>
      </c>
      <c r="C20" s="14">
        <v>3820</v>
      </c>
      <c r="D20" s="14">
        <v>3820</v>
      </c>
      <c r="E20" s="14">
        <f t="shared" si="3"/>
        <v>3820</v>
      </c>
      <c r="F20" s="14">
        <v>6600</v>
      </c>
      <c r="G20" s="14">
        <f t="shared" si="4"/>
        <v>6600</v>
      </c>
      <c r="H20" s="14">
        <v>8510</v>
      </c>
      <c r="I20" s="14">
        <f t="shared" si="5"/>
        <v>8510</v>
      </c>
      <c r="J20" s="14">
        <f>+F20/D20%</f>
        <v>172.77486910994764</v>
      </c>
      <c r="K20" s="14">
        <f>+F20/C20%</f>
        <v>172.77486910994764</v>
      </c>
      <c r="L20" s="14">
        <f>+H20/C20%</f>
        <v>222.77486910994762</v>
      </c>
      <c r="M20" s="14">
        <f>+H20/D20%</f>
        <v>222.77486910994762</v>
      </c>
      <c r="N20" s="14">
        <f>+H20/F20%</f>
        <v>128.93939393939394</v>
      </c>
    </row>
    <row r="21" spans="1:14" ht="15">
      <c r="A21" s="18"/>
      <c r="B21" s="8" t="s">
        <v>78</v>
      </c>
      <c r="C21" s="14">
        <v>100</v>
      </c>
      <c r="D21" s="14">
        <v>100</v>
      </c>
      <c r="E21" s="14">
        <f t="shared" si="3"/>
        <v>100</v>
      </c>
      <c r="F21" s="14">
        <v>884</v>
      </c>
      <c r="G21" s="14">
        <f t="shared" si="4"/>
        <v>884</v>
      </c>
      <c r="H21" s="14">
        <v>690</v>
      </c>
      <c r="I21" s="14">
        <f t="shared" si="5"/>
        <v>690</v>
      </c>
      <c r="J21" s="14">
        <f>+F21/D21%</f>
        <v>884</v>
      </c>
      <c r="K21" s="14">
        <f>+F21/C21%</f>
        <v>884</v>
      </c>
      <c r="L21" s="14">
        <f>+H21/C21%</f>
        <v>690</v>
      </c>
      <c r="M21" s="14">
        <f>+H21/D21%</f>
        <v>690</v>
      </c>
      <c r="N21" s="14">
        <f>+H21/F21%</f>
        <v>78.05429864253394</v>
      </c>
    </row>
    <row r="22" spans="1:14" ht="15">
      <c r="A22" s="18"/>
      <c r="B22" s="8" t="s">
        <v>82</v>
      </c>
      <c r="C22" s="14"/>
      <c r="D22" s="14"/>
      <c r="E22" s="14">
        <f t="shared" si="3"/>
        <v>0</v>
      </c>
      <c r="F22" s="14"/>
      <c r="G22" s="14">
        <f t="shared" si="4"/>
        <v>0</v>
      </c>
      <c r="H22" s="14"/>
      <c r="I22" s="14">
        <f t="shared" si="5"/>
        <v>0</v>
      </c>
      <c r="J22" s="14"/>
      <c r="K22" s="14"/>
      <c r="L22" s="14"/>
      <c r="M22" s="14"/>
      <c r="N22" s="14"/>
    </row>
    <row r="23" spans="1:14" ht="30.75">
      <c r="A23" s="18"/>
      <c r="B23" s="5" t="s">
        <v>83</v>
      </c>
      <c r="C23" s="14"/>
      <c r="D23" s="14"/>
      <c r="E23" s="14">
        <f t="shared" si="3"/>
        <v>0</v>
      </c>
      <c r="F23" s="14"/>
      <c r="G23" s="14">
        <f t="shared" si="4"/>
        <v>0</v>
      </c>
      <c r="H23" s="14"/>
      <c r="I23" s="14">
        <f t="shared" si="5"/>
        <v>0</v>
      </c>
      <c r="J23" s="14"/>
      <c r="K23" s="14"/>
      <c r="L23" s="14"/>
      <c r="M23" s="14"/>
      <c r="N23" s="14"/>
    </row>
    <row r="24" spans="1:14" ht="15">
      <c r="A24" s="18"/>
      <c r="B24" s="8" t="s">
        <v>13</v>
      </c>
      <c r="C24" s="14">
        <v>100</v>
      </c>
      <c r="D24" s="14">
        <v>100</v>
      </c>
      <c r="E24" s="14">
        <f t="shared" si="3"/>
        <v>100</v>
      </c>
      <c r="F24" s="14">
        <v>200</v>
      </c>
      <c r="G24" s="14">
        <f t="shared" si="4"/>
        <v>200</v>
      </c>
      <c r="H24" s="14">
        <v>10</v>
      </c>
      <c r="I24" s="14">
        <f t="shared" si="5"/>
        <v>10</v>
      </c>
      <c r="J24" s="14">
        <f>+F24/D24%</f>
        <v>200</v>
      </c>
      <c r="K24" s="14">
        <f>+F24/C24%</f>
        <v>200</v>
      </c>
      <c r="L24" s="14">
        <f>+H24/C24%</f>
        <v>10</v>
      </c>
      <c r="M24" s="14">
        <f>+H24/D24%</f>
        <v>10</v>
      </c>
      <c r="N24" s="14">
        <f>+H24/F24%</f>
        <v>5</v>
      </c>
    </row>
    <row r="25" spans="1:14" ht="30.75">
      <c r="A25" s="46">
        <v>3</v>
      </c>
      <c r="B25" s="7" t="s">
        <v>84</v>
      </c>
      <c r="C25" s="14">
        <f>+C26+C28+C30+C31+C33+C35</f>
        <v>0</v>
      </c>
      <c r="D25" s="14">
        <f>+D26+D28+D30+D31+D33+D35</f>
        <v>0</v>
      </c>
      <c r="E25" s="14">
        <f t="shared" si="3"/>
        <v>0</v>
      </c>
      <c r="F25" s="14">
        <f>+F26+F28+F30+F31+F33+F35</f>
        <v>0</v>
      </c>
      <c r="G25" s="14">
        <f t="shared" si="4"/>
        <v>0</v>
      </c>
      <c r="H25" s="14">
        <f>+H26+H28+H30+H31+H33+H35</f>
        <v>0</v>
      </c>
      <c r="I25" s="14">
        <f t="shared" si="5"/>
        <v>0</v>
      </c>
      <c r="J25" s="14"/>
      <c r="K25" s="14"/>
      <c r="L25" s="14"/>
      <c r="M25" s="14"/>
      <c r="N25" s="14"/>
    </row>
    <row r="26" spans="1:14" ht="15">
      <c r="A26" s="18"/>
      <c r="B26" s="8" t="s">
        <v>76</v>
      </c>
      <c r="C26" s="14"/>
      <c r="D26" s="14"/>
      <c r="E26" s="14">
        <f t="shared" si="3"/>
        <v>0</v>
      </c>
      <c r="F26" s="14"/>
      <c r="G26" s="14">
        <f t="shared" si="4"/>
        <v>0</v>
      </c>
      <c r="H26" s="14"/>
      <c r="I26" s="14">
        <f t="shared" si="5"/>
        <v>0</v>
      </c>
      <c r="J26" s="14"/>
      <c r="K26" s="14"/>
      <c r="L26" s="14"/>
      <c r="M26" s="14"/>
      <c r="N26" s="14"/>
    </row>
    <row r="27" spans="1:14" ht="30.75">
      <c r="A27" s="18"/>
      <c r="B27" s="5" t="s">
        <v>85</v>
      </c>
      <c r="C27" s="14"/>
      <c r="D27" s="14"/>
      <c r="E27" s="14">
        <f t="shared" si="3"/>
        <v>0</v>
      </c>
      <c r="F27" s="14"/>
      <c r="G27" s="14">
        <f t="shared" si="4"/>
        <v>0</v>
      </c>
      <c r="H27" s="14"/>
      <c r="I27" s="14">
        <f t="shared" si="5"/>
        <v>0</v>
      </c>
      <c r="J27" s="14"/>
      <c r="K27" s="14"/>
      <c r="L27" s="14"/>
      <c r="M27" s="14"/>
      <c r="N27" s="14"/>
    </row>
    <row r="28" spans="1:14" ht="15">
      <c r="A28" s="18"/>
      <c r="B28" s="8" t="s">
        <v>78</v>
      </c>
      <c r="C28" s="14"/>
      <c r="D28" s="14"/>
      <c r="E28" s="14">
        <f t="shared" si="3"/>
        <v>0</v>
      </c>
      <c r="F28" s="14"/>
      <c r="G28" s="14">
        <f t="shared" si="4"/>
        <v>0</v>
      </c>
      <c r="H28" s="14"/>
      <c r="I28" s="14">
        <f t="shared" si="5"/>
        <v>0</v>
      </c>
      <c r="J28" s="14"/>
      <c r="K28" s="14"/>
      <c r="L28" s="14"/>
      <c r="M28" s="14"/>
      <c r="N28" s="14"/>
    </row>
    <row r="29" spans="1:14" ht="30.75">
      <c r="A29" s="18"/>
      <c r="B29" s="5" t="s">
        <v>85</v>
      </c>
      <c r="C29" s="14"/>
      <c r="D29" s="14"/>
      <c r="E29" s="14">
        <f t="shared" si="3"/>
        <v>0</v>
      </c>
      <c r="F29" s="14"/>
      <c r="G29" s="14">
        <f t="shared" si="4"/>
        <v>0</v>
      </c>
      <c r="H29" s="14"/>
      <c r="I29" s="14">
        <f t="shared" si="5"/>
        <v>0</v>
      </c>
      <c r="J29" s="14"/>
      <c r="K29" s="14"/>
      <c r="L29" s="14"/>
      <c r="M29" s="14"/>
      <c r="N29" s="14"/>
    </row>
    <row r="30" spans="1:14" ht="15">
      <c r="A30" s="18"/>
      <c r="B30" s="8" t="s">
        <v>86</v>
      </c>
      <c r="C30" s="14"/>
      <c r="D30" s="14"/>
      <c r="E30" s="14">
        <f t="shared" si="3"/>
        <v>0</v>
      </c>
      <c r="F30" s="14"/>
      <c r="G30" s="14">
        <f t="shared" si="4"/>
        <v>0</v>
      </c>
      <c r="H30" s="14"/>
      <c r="I30" s="14">
        <f t="shared" si="5"/>
        <v>0</v>
      </c>
      <c r="J30" s="14"/>
      <c r="K30" s="14"/>
      <c r="L30" s="14"/>
      <c r="M30" s="14"/>
      <c r="N30" s="14"/>
    </row>
    <row r="31" spans="1:14" ht="15">
      <c r="A31" s="18"/>
      <c r="B31" s="8" t="s">
        <v>16</v>
      </c>
      <c r="C31" s="14"/>
      <c r="D31" s="14"/>
      <c r="E31" s="14">
        <f t="shared" si="3"/>
        <v>0</v>
      </c>
      <c r="F31" s="14"/>
      <c r="G31" s="14">
        <f t="shared" si="4"/>
        <v>0</v>
      </c>
      <c r="H31" s="14"/>
      <c r="I31" s="14">
        <f t="shared" si="5"/>
        <v>0</v>
      </c>
      <c r="J31" s="14"/>
      <c r="K31" s="14"/>
      <c r="L31" s="14"/>
      <c r="M31" s="14"/>
      <c r="N31" s="14"/>
    </row>
    <row r="32" spans="1:14" ht="30.75">
      <c r="A32" s="18"/>
      <c r="B32" s="5" t="s">
        <v>87</v>
      </c>
      <c r="C32" s="14"/>
      <c r="D32" s="14"/>
      <c r="E32" s="14">
        <f t="shared" si="3"/>
        <v>0</v>
      </c>
      <c r="F32" s="14"/>
      <c r="G32" s="14">
        <f t="shared" si="4"/>
        <v>0</v>
      </c>
      <c r="H32" s="14"/>
      <c r="I32" s="14">
        <f t="shared" si="5"/>
        <v>0</v>
      </c>
      <c r="J32" s="14"/>
      <c r="K32" s="14"/>
      <c r="L32" s="14"/>
      <c r="M32" s="14"/>
      <c r="N32" s="14"/>
    </row>
    <row r="33" spans="1:14" ht="15">
      <c r="A33" s="18"/>
      <c r="B33" s="8" t="s">
        <v>13</v>
      </c>
      <c r="C33" s="14"/>
      <c r="D33" s="14"/>
      <c r="E33" s="14">
        <f t="shared" si="3"/>
        <v>0</v>
      </c>
      <c r="F33" s="14"/>
      <c r="G33" s="14">
        <f t="shared" si="4"/>
        <v>0</v>
      </c>
      <c r="H33" s="14"/>
      <c r="I33" s="14">
        <f t="shared" si="5"/>
        <v>0</v>
      </c>
      <c r="J33" s="14"/>
      <c r="K33" s="14"/>
      <c r="L33" s="14"/>
      <c r="M33" s="14"/>
      <c r="N33" s="14"/>
    </row>
    <row r="34" spans="1:14" ht="15">
      <c r="A34" s="18"/>
      <c r="B34" s="5" t="s">
        <v>14</v>
      </c>
      <c r="C34" s="14"/>
      <c r="D34" s="14"/>
      <c r="E34" s="14">
        <f t="shared" si="3"/>
        <v>0</v>
      </c>
      <c r="F34" s="14"/>
      <c r="G34" s="14">
        <f t="shared" si="4"/>
        <v>0</v>
      </c>
      <c r="H34" s="14"/>
      <c r="I34" s="14">
        <f t="shared" si="5"/>
        <v>0</v>
      </c>
      <c r="J34" s="14"/>
      <c r="K34" s="14"/>
      <c r="L34" s="14"/>
      <c r="M34" s="14"/>
      <c r="N34" s="14"/>
    </row>
    <row r="35" spans="1:14" ht="15">
      <c r="A35" s="18"/>
      <c r="B35" s="8" t="s">
        <v>88</v>
      </c>
      <c r="C35" s="14"/>
      <c r="D35" s="14"/>
      <c r="E35" s="14">
        <f t="shared" si="3"/>
        <v>0</v>
      </c>
      <c r="F35" s="14"/>
      <c r="G35" s="14">
        <f t="shared" si="4"/>
        <v>0</v>
      </c>
      <c r="H35" s="14"/>
      <c r="I35" s="14">
        <f t="shared" si="5"/>
        <v>0</v>
      </c>
      <c r="J35" s="14"/>
      <c r="K35" s="14"/>
      <c r="L35" s="14"/>
      <c r="M35" s="14"/>
      <c r="N35" s="14"/>
    </row>
    <row r="36" spans="1:14" ht="30.75">
      <c r="A36" s="18"/>
      <c r="B36" s="5" t="s">
        <v>15</v>
      </c>
      <c r="C36" s="14"/>
      <c r="D36" s="14"/>
      <c r="E36" s="14">
        <f t="shared" si="3"/>
        <v>0</v>
      </c>
      <c r="F36" s="14"/>
      <c r="G36" s="14">
        <f t="shared" si="4"/>
        <v>0</v>
      </c>
      <c r="H36" s="14"/>
      <c r="I36" s="14">
        <f t="shared" si="5"/>
        <v>0</v>
      </c>
      <c r="J36" s="14"/>
      <c r="K36" s="14"/>
      <c r="L36" s="14"/>
      <c r="M36" s="14"/>
      <c r="N36" s="14"/>
    </row>
    <row r="37" spans="1:14" ht="15">
      <c r="A37" s="46">
        <v>4</v>
      </c>
      <c r="B37" s="7" t="s">
        <v>17</v>
      </c>
      <c r="C37" s="48">
        <f>+C38+C39+C40+C42</f>
        <v>17650</v>
      </c>
      <c r="D37" s="48">
        <f>+D38+D39+D40+D42</f>
        <v>17650</v>
      </c>
      <c r="E37" s="48">
        <f t="shared" si="3"/>
        <v>17650</v>
      </c>
      <c r="F37" s="48">
        <f>+F38+F39+F40+F42</f>
        <v>22595</v>
      </c>
      <c r="G37" s="48">
        <f t="shared" si="4"/>
        <v>22595</v>
      </c>
      <c r="H37" s="48">
        <f>+H38+H39+H40+H42</f>
        <v>19820</v>
      </c>
      <c r="I37" s="48">
        <f t="shared" si="5"/>
        <v>19820</v>
      </c>
      <c r="J37" s="48">
        <f>+F37/D37%</f>
        <v>128.0169971671388</v>
      </c>
      <c r="K37" s="48">
        <f>+F37/C37%</f>
        <v>128.0169971671388</v>
      </c>
      <c r="L37" s="48">
        <f>+H37/C37%</f>
        <v>112.29461756373938</v>
      </c>
      <c r="M37" s="48">
        <f>+H37/D37%</f>
        <v>112.29461756373938</v>
      </c>
      <c r="N37" s="48">
        <f>+H37/F37%</f>
        <v>87.71852179685771</v>
      </c>
    </row>
    <row r="38" spans="1:14" ht="15">
      <c r="A38" s="18"/>
      <c r="B38" s="8" t="s">
        <v>11</v>
      </c>
      <c r="C38" s="14">
        <v>9930</v>
      </c>
      <c r="D38" s="14">
        <v>9930</v>
      </c>
      <c r="E38" s="14">
        <f t="shared" si="3"/>
        <v>9930</v>
      </c>
      <c r="F38" s="14">
        <v>12770</v>
      </c>
      <c r="G38" s="14">
        <f t="shared" si="4"/>
        <v>12770</v>
      </c>
      <c r="H38" s="14">
        <v>11360</v>
      </c>
      <c r="I38" s="14">
        <f t="shared" si="5"/>
        <v>11360</v>
      </c>
      <c r="J38" s="14">
        <f>+F38/D38%</f>
        <v>128.6002014098691</v>
      </c>
      <c r="K38" s="14">
        <f>+F38/C38%</f>
        <v>128.6002014098691</v>
      </c>
      <c r="L38" s="14">
        <f>+H38/C38%</f>
        <v>114.40080563947633</v>
      </c>
      <c r="M38" s="14">
        <f>+H38/D38%</f>
        <v>114.40080563947633</v>
      </c>
      <c r="N38" s="14">
        <f>+H38/F38%</f>
        <v>88.9584964761159</v>
      </c>
    </row>
    <row r="39" spans="1:14" ht="15">
      <c r="A39" s="18"/>
      <c r="B39" s="8" t="s">
        <v>12</v>
      </c>
      <c r="C39" s="14">
        <v>280</v>
      </c>
      <c r="D39" s="14">
        <v>280</v>
      </c>
      <c r="E39" s="14">
        <f t="shared" si="3"/>
        <v>280</v>
      </c>
      <c r="F39" s="14">
        <v>800</v>
      </c>
      <c r="G39" s="14">
        <f t="shared" si="4"/>
        <v>800</v>
      </c>
      <c r="H39" s="14">
        <v>230</v>
      </c>
      <c r="I39" s="14">
        <f t="shared" si="5"/>
        <v>230</v>
      </c>
      <c r="J39" s="14">
        <f>+F39/D39%</f>
        <v>285.7142857142857</v>
      </c>
      <c r="K39" s="14">
        <f>+F39/C39%</f>
        <v>285.7142857142857</v>
      </c>
      <c r="L39" s="14">
        <f>+H39/C39%</f>
        <v>82.14285714285715</v>
      </c>
      <c r="M39" s="14">
        <f>+H39/D39%</f>
        <v>82.14285714285715</v>
      </c>
      <c r="N39" s="14">
        <f>+H39/F39%</f>
        <v>28.75</v>
      </c>
    </row>
    <row r="40" spans="1:14" ht="15">
      <c r="A40" s="18"/>
      <c r="B40" s="8" t="s">
        <v>16</v>
      </c>
      <c r="C40" s="14">
        <v>40</v>
      </c>
      <c r="D40" s="14">
        <v>40</v>
      </c>
      <c r="E40" s="14">
        <f t="shared" si="3"/>
        <v>40</v>
      </c>
      <c r="F40" s="14">
        <v>25</v>
      </c>
      <c r="G40" s="14">
        <f t="shared" si="4"/>
        <v>25</v>
      </c>
      <c r="H40" s="14">
        <v>30</v>
      </c>
      <c r="I40" s="14">
        <f t="shared" si="5"/>
        <v>30</v>
      </c>
      <c r="J40" s="14">
        <f>+F40/D40%</f>
        <v>62.5</v>
      </c>
      <c r="K40" s="14">
        <f>+F40/C40%</f>
        <v>62.5</v>
      </c>
      <c r="L40" s="14">
        <f>+H40/C40%</f>
        <v>75</v>
      </c>
      <c r="M40" s="14">
        <f>+H40/D40%</f>
        <v>75</v>
      </c>
      <c r="N40" s="14">
        <f>+H40/F40%</f>
        <v>120</v>
      </c>
    </row>
    <row r="41" spans="1:14" ht="30.75">
      <c r="A41" s="18"/>
      <c r="B41" s="5" t="s">
        <v>83</v>
      </c>
      <c r="C41" s="14"/>
      <c r="D41" s="14"/>
      <c r="E41" s="14">
        <f t="shared" si="3"/>
        <v>0</v>
      </c>
      <c r="F41" s="14"/>
      <c r="G41" s="14">
        <f t="shared" si="4"/>
        <v>0</v>
      </c>
      <c r="H41" s="14"/>
      <c r="I41" s="14">
        <f t="shared" si="5"/>
        <v>0</v>
      </c>
      <c r="J41" s="14"/>
      <c r="K41" s="14"/>
      <c r="L41" s="14"/>
      <c r="M41" s="14"/>
      <c r="N41" s="14"/>
    </row>
    <row r="42" spans="1:14" ht="15">
      <c r="A42" s="18"/>
      <c r="B42" s="8" t="s">
        <v>13</v>
      </c>
      <c r="C42" s="14">
        <v>7400</v>
      </c>
      <c r="D42" s="14">
        <v>7400</v>
      </c>
      <c r="E42" s="14">
        <f t="shared" si="3"/>
        <v>7400</v>
      </c>
      <c r="F42" s="14">
        <v>9000</v>
      </c>
      <c r="G42" s="14">
        <f t="shared" si="4"/>
        <v>9000</v>
      </c>
      <c r="H42" s="14">
        <v>8200</v>
      </c>
      <c r="I42" s="14">
        <f t="shared" si="5"/>
        <v>8200</v>
      </c>
      <c r="J42" s="14">
        <f>+F42/D42%</f>
        <v>121.62162162162163</v>
      </c>
      <c r="K42" s="14">
        <f>+F42/C42%</f>
        <v>121.62162162162163</v>
      </c>
      <c r="L42" s="14">
        <f>+H42/C42%</f>
        <v>110.8108108108108</v>
      </c>
      <c r="M42" s="14">
        <f>+H42/D42%</f>
        <v>110.8108108108108</v>
      </c>
      <c r="N42" s="14">
        <f>+H42/F42%</f>
        <v>91.11111111111111</v>
      </c>
    </row>
    <row r="43" spans="1:14" ht="15">
      <c r="A43" s="46">
        <v>5</v>
      </c>
      <c r="B43" s="7" t="s">
        <v>22</v>
      </c>
      <c r="C43" s="14">
        <v>500</v>
      </c>
      <c r="D43" s="14">
        <v>500</v>
      </c>
      <c r="E43" s="14">
        <f t="shared" si="3"/>
        <v>500</v>
      </c>
      <c r="F43" s="14">
        <v>850</v>
      </c>
      <c r="G43" s="14">
        <v>850</v>
      </c>
      <c r="H43" s="14">
        <v>900</v>
      </c>
      <c r="I43" s="14">
        <f t="shared" si="5"/>
        <v>900</v>
      </c>
      <c r="J43" s="14">
        <f>+F43/D43%</f>
        <v>170</v>
      </c>
      <c r="K43" s="14">
        <f>+F43/C43%</f>
        <v>170</v>
      </c>
      <c r="L43" s="14">
        <f>+H43/C43%</f>
        <v>180</v>
      </c>
      <c r="M43" s="14">
        <f>+H43/D43%</f>
        <v>180</v>
      </c>
      <c r="N43" s="14">
        <f>+H43/F43%</f>
        <v>105.88235294117646</v>
      </c>
    </row>
    <row r="44" spans="1:14" ht="15">
      <c r="A44" s="46">
        <v>6</v>
      </c>
      <c r="B44" s="7" t="s">
        <v>32</v>
      </c>
      <c r="C44" s="14"/>
      <c r="D44" s="14"/>
      <c r="E44" s="14">
        <f t="shared" si="3"/>
        <v>0</v>
      </c>
      <c r="F44" s="14"/>
      <c r="G44" s="14">
        <f t="shared" si="4"/>
        <v>0</v>
      </c>
      <c r="H44" s="14"/>
      <c r="I44" s="14">
        <f t="shared" si="5"/>
        <v>0</v>
      </c>
      <c r="J44" s="14"/>
      <c r="K44" s="14"/>
      <c r="L44" s="14"/>
      <c r="M44" s="14"/>
      <c r="N44" s="14"/>
    </row>
    <row r="45" spans="1:14" ht="15">
      <c r="A45" s="46">
        <v>7</v>
      </c>
      <c r="B45" s="7" t="s">
        <v>31</v>
      </c>
      <c r="C45" s="14"/>
      <c r="D45" s="14"/>
      <c r="E45" s="14">
        <f t="shared" si="3"/>
        <v>0</v>
      </c>
      <c r="F45" s="14">
        <v>14</v>
      </c>
      <c r="G45" s="14">
        <f t="shared" si="4"/>
        <v>14</v>
      </c>
      <c r="H45" s="14">
        <v>10</v>
      </c>
      <c r="I45" s="14">
        <f t="shared" si="5"/>
        <v>10</v>
      </c>
      <c r="J45" s="14"/>
      <c r="K45" s="14"/>
      <c r="L45" s="14"/>
      <c r="M45" s="14"/>
      <c r="N45" s="14">
        <f>+H45/F45%</f>
        <v>71.42857142857142</v>
      </c>
    </row>
    <row r="46" spans="1:14" ht="15">
      <c r="A46" s="46">
        <v>8</v>
      </c>
      <c r="B46" s="7" t="s">
        <v>18</v>
      </c>
      <c r="C46" s="14">
        <v>1200</v>
      </c>
      <c r="D46" s="14">
        <v>1200</v>
      </c>
      <c r="E46" s="14">
        <f t="shared" si="3"/>
        <v>1200</v>
      </c>
      <c r="F46" s="14">
        <v>965</v>
      </c>
      <c r="G46" s="14">
        <v>965</v>
      </c>
      <c r="H46" s="14">
        <v>960</v>
      </c>
      <c r="I46" s="14">
        <f t="shared" si="5"/>
        <v>960</v>
      </c>
      <c r="J46" s="14">
        <f>+F46/D46%</f>
        <v>80.41666666666667</v>
      </c>
      <c r="K46" s="14">
        <f>+F46/C46%</f>
        <v>80.41666666666667</v>
      </c>
      <c r="L46" s="14">
        <f>+H46/C46%</f>
        <v>80</v>
      </c>
      <c r="M46" s="14">
        <f>+H46/D46%</f>
        <v>80</v>
      </c>
      <c r="N46" s="14">
        <f>+H46/F46%</f>
        <v>99.48186528497409</v>
      </c>
    </row>
    <row r="47" spans="1:14" ht="15">
      <c r="A47" s="46">
        <v>9</v>
      </c>
      <c r="B47" s="7" t="s">
        <v>19</v>
      </c>
      <c r="C47" s="14"/>
      <c r="D47" s="14"/>
      <c r="E47" s="14">
        <f t="shared" si="3"/>
        <v>0</v>
      </c>
      <c r="F47" s="14"/>
      <c r="G47" s="14">
        <f t="shared" si="4"/>
        <v>0</v>
      </c>
      <c r="H47" s="14"/>
      <c r="I47" s="14">
        <f t="shared" si="5"/>
        <v>0</v>
      </c>
      <c r="J47" s="14"/>
      <c r="K47" s="14"/>
      <c r="L47" s="14"/>
      <c r="M47" s="14"/>
      <c r="N47" s="14"/>
    </row>
    <row r="48" spans="1:14" ht="15">
      <c r="A48" s="18"/>
      <c r="B48" s="5" t="s">
        <v>20</v>
      </c>
      <c r="C48" s="14"/>
      <c r="D48" s="14"/>
      <c r="E48" s="14">
        <f t="shared" si="3"/>
        <v>0</v>
      </c>
      <c r="F48" s="14"/>
      <c r="G48" s="14">
        <f t="shared" si="4"/>
        <v>0</v>
      </c>
      <c r="H48" s="14"/>
      <c r="I48" s="14">
        <f t="shared" si="5"/>
        <v>0</v>
      </c>
      <c r="J48" s="14"/>
      <c r="K48" s="14"/>
      <c r="L48" s="14"/>
      <c r="M48" s="14"/>
      <c r="N48" s="14"/>
    </row>
    <row r="49" spans="1:14" ht="15">
      <c r="A49" s="18"/>
      <c r="B49" s="5" t="s">
        <v>21</v>
      </c>
      <c r="C49" s="14"/>
      <c r="D49" s="14"/>
      <c r="E49" s="14">
        <f t="shared" si="3"/>
        <v>0</v>
      </c>
      <c r="F49" s="14"/>
      <c r="G49" s="14">
        <f t="shared" si="4"/>
        <v>0</v>
      </c>
      <c r="H49" s="14"/>
      <c r="I49" s="14">
        <f t="shared" si="5"/>
        <v>0</v>
      </c>
      <c r="J49" s="14"/>
      <c r="K49" s="14"/>
      <c r="L49" s="14"/>
      <c r="M49" s="14"/>
      <c r="N49" s="14"/>
    </row>
    <row r="50" spans="1:14" ht="15">
      <c r="A50" s="46">
        <v>10</v>
      </c>
      <c r="B50" s="7" t="s">
        <v>89</v>
      </c>
      <c r="C50" s="48">
        <f>+C52+C51</f>
        <v>940</v>
      </c>
      <c r="D50" s="48">
        <f>+D52+D51</f>
        <v>940</v>
      </c>
      <c r="E50" s="48">
        <f t="shared" si="3"/>
        <v>940</v>
      </c>
      <c r="F50" s="48">
        <f>+F52+F51</f>
        <v>400</v>
      </c>
      <c r="G50" s="48">
        <f t="shared" si="4"/>
        <v>400</v>
      </c>
      <c r="H50" s="48">
        <f>+H52+H51</f>
        <v>540</v>
      </c>
      <c r="I50" s="48">
        <f t="shared" si="5"/>
        <v>540</v>
      </c>
      <c r="J50" s="48">
        <f>+F50/D50%</f>
        <v>42.5531914893617</v>
      </c>
      <c r="K50" s="48">
        <f>+F50/C50%</f>
        <v>42.5531914893617</v>
      </c>
      <c r="L50" s="48">
        <f>+H50/C50%</f>
        <v>57.4468085106383</v>
      </c>
      <c r="M50" s="48">
        <f>+H50/D50%</f>
        <v>57.4468085106383</v>
      </c>
      <c r="N50" s="48">
        <f>+H50/F50%</f>
        <v>135</v>
      </c>
    </row>
    <row r="51" spans="1:17" ht="30.75">
      <c r="A51" s="18"/>
      <c r="B51" s="5" t="s">
        <v>90</v>
      </c>
      <c r="C51" s="14"/>
      <c r="D51" s="14"/>
      <c r="E51" s="14">
        <f t="shared" si="3"/>
        <v>0</v>
      </c>
      <c r="F51" s="14"/>
      <c r="G51" s="14">
        <f t="shared" si="4"/>
        <v>0</v>
      </c>
      <c r="H51" s="14"/>
      <c r="I51" s="14">
        <f t="shared" si="5"/>
        <v>0</v>
      </c>
      <c r="J51" s="14"/>
      <c r="K51" s="14"/>
      <c r="L51" s="14"/>
      <c r="M51" s="14"/>
      <c r="N51" s="14"/>
      <c r="Q51" s="42">
        <v>73400</v>
      </c>
    </row>
    <row r="52" spans="1:17" ht="30.75">
      <c r="A52" s="18"/>
      <c r="B52" s="5" t="s">
        <v>91</v>
      </c>
      <c r="C52" s="14">
        <v>940</v>
      </c>
      <c r="D52" s="14">
        <v>940</v>
      </c>
      <c r="E52" s="14">
        <f t="shared" si="3"/>
        <v>940</v>
      </c>
      <c r="F52" s="14">
        <v>400</v>
      </c>
      <c r="G52" s="14">
        <f t="shared" si="4"/>
        <v>400</v>
      </c>
      <c r="H52" s="14">
        <v>540</v>
      </c>
      <c r="I52" s="14">
        <f t="shared" si="5"/>
        <v>540</v>
      </c>
      <c r="J52" s="14">
        <f>+F52/D52%</f>
        <v>42.5531914893617</v>
      </c>
      <c r="K52" s="14">
        <f>+F52/C52%</f>
        <v>42.5531914893617</v>
      </c>
      <c r="L52" s="14">
        <f>+H52/C52%</f>
        <v>57.4468085106383</v>
      </c>
      <c r="M52" s="14">
        <f>+H52/D52%</f>
        <v>57.4468085106383</v>
      </c>
      <c r="N52" s="14">
        <f>+H52/F52%</f>
        <v>135</v>
      </c>
      <c r="Q52" s="42">
        <v>15461</v>
      </c>
    </row>
    <row r="53" spans="1:17" ht="30.75">
      <c r="A53" s="18"/>
      <c r="B53" s="5" t="s">
        <v>92</v>
      </c>
      <c r="C53" s="14">
        <v>500</v>
      </c>
      <c r="D53" s="14">
        <v>500</v>
      </c>
      <c r="E53" s="14">
        <f t="shared" si="3"/>
        <v>500</v>
      </c>
      <c r="F53" s="14">
        <v>100</v>
      </c>
      <c r="G53" s="14">
        <f t="shared" si="4"/>
        <v>100</v>
      </c>
      <c r="H53" s="14"/>
      <c r="I53" s="14">
        <f t="shared" si="5"/>
        <v>0</v>
      </c>
      <c r="J53" s="14">
        <f>+F53/D53%</f>
        <v>20</v>
      </c>
      <c r="K53" s="14">
        <f>+F53/C53%</f>
        <v>20</v>
      </c>
      <c r="L53" s="14">
        <f>+H53/C53%</f>
        <v>0</v>
      </c>
      <c r="M53" s="14">
        <f>+H53/D53%</f>
        <v>0</v>
      </c>
      <c r="N53" s="14">
        <f>+H53/F53%</f>
        <v>0</v>
      </c>
      <c r="Q53" s="42">
        <v>7684</v>
      </c>
    </row>
    <row r="54" spans="1:17" ht="18">
      <c r="A54" s="46">
        <v>11</v>
      </c>
      <c r="B54" s="7" t="s">
        <v>93</v>
      </c>
      <c r="C54" s="48">
        <f>+C55+C56</f>
        <v>5000</v>
      </c>
      <c r="D54" s="48">
        <f>+D55+D56</f>
        <v>37361</v>
      </c>
      <c r="E54" s="48">
        <f t="shared" si="3"/>
        <v>37361</v>
      </c>
      <c r="F54" s="48">
        <f>+F55+F56</f>
        <v>17451</v>
      </c>
      <c r="G54" s="48">
        <f t="shared" si="4"/>
        <v>17451</v>
      </c>
      <c r="H54" s="48">
        <f>+H55+H56</f>
        <v>5000</v>
      </c>
      <c r="I54" s="48">
        <f t="shared" si="5"/>
        <v>5000</v>
      </c>
      <c r="J54" s="48">
        <f>+F54/D54%</f>
        <v>46.709135194454106</v>
      </c>
      <c r="K54" s="48">
        <f>+F54/C54%</f>
        <v>349.02</v>
      </c>
      <c r="L54" s="48">
        <f>+H54/C54%</f>
        <v>100</v>
      </c>
      <c r="M54" s="48">
        <f>+H54/D54%</f>
        <v>13.382939428816144</v>
      </c>
      <c r="N54" s="48">
        <f>+H54/F54%</f>
        <v>28.651653200389664</v>
      </c>
      <c r="Q54" s="42">
        <v>22595</v>
      </c>
    </row>
    <row r="55" spans="1:17" ht="30.75">
      <c r="A55" s="18"/>
      <c r="B55" s="5" t="s">
        <v>94</v>
      </c>
      <c r="C55" s="14"/>
      <c r="D55" s="14"/>
      <c r="E55" s="14">
        <f t="shared" si="3"/>
        <v>0</v>
      </c>
      <c r="F55" s="14"/>
      <c r="G55" s="14">
        <f t="shared" si="4"/>
        <v>0</v>
      </c>
      <c r="H55" s="14"/>
      <c r="I55" s="14">
        <f t="shared" si="5"/>
        <v>0</v>
      </c>
      <c r="J55" s="14"/>
      <c r="K55" s="14"/>
      <c r="L55" s="14"/>
      <c r="M55" s="14"/>
      <c r="N55" s="14"/>
      <c r="Q55" s="42">
        <v>17451</v>
      </c>
    </row>
    <row r="56" spans="1:17" ht="30.75">
      <c r="A56" s="18"/>
      <c r="B56" s="5" t="s">
        <v>95</v>
      </c>
      <c r="C56" s="14">
        <v>5000</v>
      </c>
      <c r="D56" s="14">
        <v>37361</v>
      </c>
      <c r="E56" s="14">
        <f t="shared" si="3"/>
        <v>37361</v>
      </c>
      <c r="F56" s="14">
        <v>17451</v>
      </c>
      <c r="G56" s="14">
        <f t="shared" si="4"/>
        <v>17451</v>
      </c>
      <c r="H56" s="14">
        <v>5000</v>
      </c>
      <c r="I56" s="14">
        <f t="shared" si="5"/>
        <v>5000</v>
      </c>
      <c r="J56" s="14">
        <f>+F56/D56%</f>
        <v>46.709135194454106</v>
      </c>
      <c r="K56" s="14">
        <f>+F56/C56%</f>
        <v>349.02</v>
      </c>
      <c r="L56" s="14">
        <f>+H56/C56%</f>
        <v>100</v>
      </c>
      <c r="M56" s="14">
        <f>+H56/D56%</f>
        <v>13.382939428816144</v>
      </c>
      <c r="N56" s="14">
        <f>+H56/F56%</f>
        <v>28.651653200389664</v>
      </c>
      <c r="Q56" s="43">
        <v>14</v>
      </c>
    </row>
    <row r="57" spans="1:17" ht="18">
      <c r="A57" s="46" t="s">
        <v>96</v>
      </c>
      <c r="B57" s="7" t="s">
        <v>97</v>
      </c>
      <c r="C57" s="14">
        <v>560</v>
      </c>
      <c r="D57" s="14">
        <v>560</v>
      </c>
      <c r="E57" s="14">
        <f t="shared" si="3"/>
        <v>560</v>
      </c>
      <c r="F57" s="14">
        <v>4450</v>
      </c>
      <c r="G57" s="14">
        <f>3950+500</f>
        <v>4450</v>
      </c>
      <c r="H57" s="14">
        <v>1260</v>
      </c>
      <c r="I57" s="14">
        <f t="shared" si="5"/>
        <v>1260</v>
      </c>
      <c r="J57" s="14">
        <f>+F57/D57%</f>
        <v>794.6428571428572</v>
      </c>
      <c r="K57" s="14">
        <f>+F57/C57%</f>
        <v>794.6428571428572</v>
      </c>
      <c r="L57" s="14">
        <f>+H57/C57%</f>
        <v>225.00000000000003</v>
      </c>
      <c r="M57" s="14">
        <f>+H57/D57%</f>
        <v>225.00000000000003</v>
      </c>
      <c r="N57" s="14">
        <f>+H57/F57%</f>
        <v>28.314606741573034</v>
      </c>
      <c r="Q57" s="43">
        <v>965</v>
      </c>
    </row>
    <row r="58" spans="1:17" ht="18">
      <c r="A58" s="46">
        <v>13</v>
      </c>
      <c r="B58" s="7" t="s">
        <v>98</v>
      </c>
      <c r="C58" s="14"/>
      <c r="D58" s="14"/>
      <c r="E58" s="14">
        <f t="shared" si="3"/>
        <v>0</v>
      </c>
      <c r="F58" s="14"/>
      <c r="G58" s="14">
        <f t="shared" si="4"/>
        <v>0</v>
      </c>
      <c r="H58" s="14"/>
      <c r="I58" s="14">
        <f t="shared" si="5"/>
        <v>0</v>
      </c>
      <c r="J58" s="14"/>
      <c r="K58" s="14"/>
      <c r="L58" s="14"/>
      <c r="M58" s="14"/>
      <c r="N58" s="14"/>
      <c r="Q58" s="43">
        <v>850</v>
      </c>
    </row>
    <row r="59" spans="1:17" ht="30.75">
      <c r="A59" s="18"/>
      <c r="B59" s="5" t="s">
        <v>99</v>
      </c>
      <c r="C59" s="14"/>
      <c r="D59" s="14"/>
      <c r="E59" s="14">
        <f t="shared" si="3"/>
        <v>0</v>
      </c>
      <c r="F59" s="14"/>
      <c r="G59" s="14">
        <f t="shared" si="4"/>
        <v>0</v>
      </c>
      <c r="H59" s="14"/>
      <c r="I59" s="14">
        <f t="shared" si="5"/>
        <v>0</v>
      </c>
      <c r="J59" s="14"/>
      <c r="K59" s="14"/>
      <c r="L59" s="14"/>
      <c r="M59" s="14"/>
      <c r="N59" s="14"/>
      <c r="Q59" s="43">
        <v>400</v>
      </c>
    </row>
    <row r="60" spans="1:17" ht="15">
      <c r="A60" s="18"/>
      <c r="B60" s="5" t="s">
        <v>100</v>
      </c>
      <c r="C60" s="14"/>
      <c r="D60" s="14"/>
      <c r="E60" s="14">
        <f t="shared" si="3"/>
        <v>0</v>
      </c>
      <c r="F60" s="14"/>
      <c r="G60" s="14">
        <f t="shared" si="4"/>
        <v>0</v>
      </c>
      <c r="H60" s="14"/>
      <c r="I60" s="14">
        <f t="shared" si="5"/>
        <v>0</v>
      </c>
      <c r="J60" s="14"/>
      <c r="K60" s="14"/>
      <c r="L60" s="14"/>
      <c r="M60" s="14"/>
      <c r="N60" s="14"/>
      <c r="Q60" s="44">
        <f>+Q51-Q52-Q53-Q54-Q55-Q56-Q57-Q58-Q59</f>
        <v>7980</v>
      </c>
    </row>
    <row r="61" spans="1:14" ht="15">
      <c r="A61" s="46">
        <v>14</v>
      </c>
      <c r="B61" s="7" t="s">
        <v>101</v>
      </c>
      <c r="C61" s="14"/>
      <c r="D61" s="14"/>
      <c r="E61" s="14">
        <f t="shared" si="3"/>
        <v>0</v>
      </c>
      <c r="F61" s="14"/>
      <c r="G61" s="14">
        <f t="shared" si="4"/>
        <v>0</v>
      </c>
      <c r="H61" s="14"/>
      <c r="I61" s="14">
        <f t="shared" si="5"/>
        <v>0</v>
      </c>
      <c r="J61" s="14"/>
      <c r="K61" s="14"/>
      <c r="L61" s="14"/>
      <c r="M61" s="14"/>
      <c r="N61" s="14"/>
    </row>
    <row r="62" spans="1:14" ht="15">
      <c r="A62" s="18"/>
      <c r="B62" s="5" t="s">
        <v>102</v>
      </c>
      <c r="C62" s="14"/>
      <c r="D62" s="14"/>
      <c r="E62" s="14">
        <f t="shared" si="3"/>
        <v>0</v>
      </c>
      <c r="F62" s="14"/>
      <c r="G62" s="14">
        <f t="shared" si="4"/>
        <v>0</v>
      </c>
      <c r="H62" s="14"/>
      <c r="I62" s="14">
        <f t="shared" si="5"/>
        <v>0</v>
      </c>
      <c r="J62" s="14"/>
      <c r="K62" s="14"/>
      <c r="L62" s="14"/>
      <c r="M62" s="14"/>
      <c r="N62" s="14"/>
    </row>
    <row r="63" spans="1:14" ht="15">
      <c r="A63" s="18"/>
      <c r="B63" s="5" t="s">
        <v>103</v>
      </c>
      <c r="C63" s="14"/>
      <c r="D63" s="14"/>
      <c r="E63" s="14">
        <f t="shared" si="3"/>
        <v>0</v>
      </c>
      <c r="F63" s="14"/>
      <c r="G63" s="14">
        <f t="shared" si="4"/>
        <v>0</v>
      </c>
      <c r="H63" s="14"/>
      <c r="I63" s="14">
        <f t="shared" si="5"/>
        <v>0</v>
      </c>
      <c r="J63" s="14"/>
      <c r="K63" s="14"/>
      <c r="L63" s="14"/>
      <c r="M63" s="14"/>
      <c r="N63" s="14"/>
    </row>
    <row r="64" spans="1:14" ht="30.75">
      <c r="A64" s="46">
        <v>15</v>
      </c>
      <c r="B64" s="7" t="s">
        <v>104</v>
      </c>
      <c r="C64" s="14"/>
      <c r="D64" s="14"/>
      <c r="E64" s="14">
        <f t="shared" si="3"/>
        <v>0</v>
      </c>
      <c r="F64" s="14"/>
      <c r="G64" s="14">
        <f t="shared" si="4"/>
        <v>0</v>
      </c>
      <c r="H64" s="14"/>
      <c r="I64" s="14">
        <f t="shared" si="5"/>
        <v>0</v>
      </c>
      <c r="J64" s="14"/>
      <c r="K64" s="14"/>
      <c r="L64" s="14"/>
      <c r="M64" s="14"/>
      <c r="N64" s="14"/>
    </row>
    <row r="65" spans="1:14" ht="15">
      <c r="A65" s="18"/>
      <c r="B65" s="5" t="s">
        <v>105</v>
      </c>
      <c r="C65" s="14"/>
      <c r="D65" s="14"/>
      <c r="E65" s="14">
        <f t="shared" si="3"/>
        <v>0</v>
      </c>
      <c r="F65" s="14"/>
      <c r="G65" s="14">
        <f t="shared" si="4"/>
        <v>0</v>
      </c>
      <c r="H65" s="14"/>
      <c r="I65" s="14">
        <f t="shared" si="5"/>
        <v>0</v>
      </c>
      <c r="J65" s="14"/>
      <c r="K65" s="14"/>
      <c r="L65" s="14"/>
      <c r="M65" s="14"/>
      <c r="N65" s="14"/>
    </row>
    <row r="66" spans="1:14" ht="15">
      <c r="A66" s="18"/>
      <c r="B66" s="5" t="s">
        <v>106</v>
      </c>
      <c r="C66" s="14"/>
      <c r="D66" s="14"/>
      <c r="E66" s="14">
        <f t="shared" si="3"/>
        <v>0</v>
      </c>
      <c r="F66" s="14"/>
      <c r="G66" s="14">
        <f t="shared" si="4"/>
        <v>0</v>
      </c>
      <c r="H66" s="14"/>
      <c r="I66" s="14">
        <f t="shared" si="5"/>
        <v>0</v>
      </c>
      <c r="J66" s="14"/>
      <c r="K66" s="14"/>
      <c r="L66" s="14"/>
      <c r="M66" s="14"/>
      <c r="N66" s="14"/>
    </row>
    <row r="67" spans="1:14" ht="30.75">
      <c r="A67" s="46">
        <v>16</v>
      </c>
      <c r="B67" s="7" t="s">
        <v>107</v>
      </c>
      <c r="C67" s="14"/>
      <c r="D67" s="14"/>
      <c r="E67" s="14">
        <f t="shared" si="3"/>
        <v>0</v>
      </c>
      <c r="F67" s="14"/>
      <c r="G67" s="14">
        <f t="shared" si="4"/>
        <v>0</v>
      </c>
      <c r="H67" s="14"/>
      <c r="I67" s="14">
        <f t="shared" si="5"/>
        <v>0</v>
      </c>
      <c r="J67" s="14"/>
      <c r="K67" s="14"/>
      <c r="L67" s="14"/>
      <c r="M67" s="14"/>
      <c r="N67" s="14"/>
    </row>
    <row r="68" spans="1:14" ht="15">
      <c r="A68" s="46">
        <v>17</v>
      </c>
      <c r="B68" s="7" t="s">
        <v>23</v>
      </c>
      <c r="C68" s="48">
        <v>1700</v>
      </c>
      <c r="D68" s="48">
        <v>1700</v>
      </c>
      <c r="E68" s="48">
        <f t="shared" si="3"/>
        <v>1700</v>
      </c>
      <c r="F68" s="48">
        <v>1500</v>
      </c>
      <c r="G68" s="48">
        <f>1200+300</f>
        <v>1500</v>
      </c>
      <c r="H68" s="48">
        <v>1300</v>
      </c>
      <c r="I68" s="48">
        <f t="shared" si="5"/>
        <v>1300</v>
      </c>
      <c r="J68" s="48">
        <f>+F68/D68%</f>
        <v>88.23529411764706</v>
      </c>
      <c r="K68" s="48">
        <f>+F68/C68%</f>
        <v>88.23529411764706</v>
      </c>
      <c r="L68" s="48">
        <f>+H68/C68%</f>
        <v>76.47058823529412</v>
      </c>
      <c r="M68" s="48">
        <f>+H68/D68%</f>
        <v>76.47058823529412</v>
      </c>
      <c r="N68" s="48">
        <f>+H68/F68%</f>
        <v>86.66666666666667</v>
      </c>
    </row>
    <row r="69" spans="1:14" ht="30.75">
      <c r="A69" s="18"/>
      <c r="B69" s="5" t="s">
        <v>24</v>
      </c>
      <c r="C69" s="14">
        <v>220</v>
      </c>
      <c r="D69" s="14">
        <v>220</v>
      </c>
      <c r="E69" s="14">
        <f t="shared" si="3"/>
        <v>220</v>
      </c>
      <c r="F69" s="14"/>
      <c r="G69" s="14">
        <f t="shared" si="4"/>
        <v>0</v>
      </c>
      <c r="H69" s="14"/>
      <c r="I69" s="14">
        <f t="shared" si="5"/>
        <v>0</v>
      </c>
      <c r="J69" s="14">
        <f>+F69/D69%</f>
        <v>0</v>
      </c>
      <c r="K69" s="14">
        <f>+F69/C69%</f>
        <v>0</v>
      </c>
      <c r="L69" s="14">
        <f>+H69/C69%</f>
        <v>0</v>
      </c>
      <c r="M69" s="14">
        <f>+H69/D69%</f>
        <v>0</v>
      </c>
      <c r="N69" s="14"/>
    </row>
    <row r="70" spans="1:14" ht="15">
      <c r="A70" s="46">
        <v>18</v>
      </c>
      <c r="B70" s="7" t="s">
        <v>25</v>
      </c>
      <c r="C70" s="48">
        <f>+C71+C72</f>
        <v>100</v>
      </c>
      <c r="D70" s="48">
        <f>+D71+D72</f>
        <v>100</v>
      </c>
      <c r="E70" s="48">
        <f t="shared" si="3"/>
        <v>100</v>
      </c>
      <c r="F70" s="48">
        <f>+F71+F72</f>
        <v>2030</v>
      </c>
      <c r="G70" s="48">
        <f t="shared" si="4"/>
        <v>2030</v>
      </c>
      <c r="H70" s="48">
        <f>+H71+H72</f>
        <v>1350</v>
      </c>
      <c r="I70" s="48">
        <f t="shared" si="5"/>
        <v>1350</v>
      </c>
      <c r="J70" s="48">
        <f>+F70/D70%</f>
        <v>2030</v>
      </c>
      <c r="K70" s="48">
        <f>+F70/C70%</f>
        <v>2030</v>
      </c>
      <c r="L70" s="48">
        <f>+H70/C70%</f>
        <v>1350</v>
      </c>
      <c r="M70" s="48">
        <f>+H70/D70%</f>
        <v>1350</v>
      </c>
      <c r="N70" s="48">
        <f>+H70/F70%</f>
        <v>66.50246305418719</v>
      </c>
    </row>
    <row r="71" spans="1:14" ht="15">
      <c r="A71" s="18"/>
      <c r="B71" s="5" t="s">
        <v>108</v>
      </c>
      <c r="C71" s="14"/>
      <c r="D71" s="14"/>
      <c r="E71" s="14">
        <f t="shared" si="3"/>
        <v>0</v>
      </c>
      <c r="F71" s="14">
        <v>930</v>
      </c>
      <c r="G71" s="14">
        <v>1330</v>
      </c>
      <c r="H71" s="14">
        <v>1330</v>
      </c>
      <c r="I71" s="14">
        <f t="shared" si="5"/>
        <v>1330</v>
      </c>
      <c r="J71" s="14"/>
      <c r="K71" s="14"/>
      <c r="L71" s="14"/>
      <c r="M71" s="14"/>
      <c r="N71" s="14">
        <f>+H71/F71%</f>
        <v>143.01075268817203</v>
      </c>
    </row>
    <row r="72" spans="1:14" ht="30.75">
      <c r="A72" s="18"/>
      <c r="B72" s="5" t="s">
        <v>109</v>
      </c>
      <c r="C72" s="14">
        <v>100</v>
      </c>
      <c r="D72" s="14">
        <v>100</v>
      </c>
      <c r="E72" s="14">
        <f t="shared" si="3"/>
        <v>100</v>
      </c>
      <c r="F72" s="14">
        <v>1100</v>
      </c>
      <c r="G72" s="14">
        <f t="shared" si="4"/>
        <v>1100</v>
      </c>
      <c r="H72" s="14">
        <v>20</v>
      </c>
      <c r="I72" s="14">
        <f t="shared" si="5"/>
        <v>20</v>
      </c>
      <c r="J72" s="14">
        <f>+F72/D72%</f>
        <v>1100</v>
      </c>
      <c r="K72" s="14">
        <f>+F72/C72%</f>
        <v>1100</v>
      </c>
      <c r="L72" s="14">
        <f>+H72/C72%</f>
        <v>20</v>
      </c>
      <c r="M72" s="14">
        <f>+H72/D72%</f>
        <v>20</v>
      </c>
      <c r="N72" s="14">
        <f>+H72/F72%</f>
        <v>1.8181818181818181</v>
      </c>
    </row>
    <row r="73" spans="1:14" ht="30.75">
      <c r="A73" s="46">
        <v>19</v>
      </c>
      <c r="B73" s="7" t="s">
        <v>26</v>
      </c>
      <c r="C73" s="14"/>
      <c r="D73" s="14"/>
      <c r="E73" s="14">
        <f t="shared" si="3"/>
        <v>0</v>
      </c>
      <c r="F73" s="14"/>
      <c r="G73" s="14">
        <f t="shared" si="4"/>
        <v>0</v>
      </c>
      <c r="H73" s="14"/>
      <c r="I73" s="14">
        <f t="shared" si="5"/>
        <v>0</v>
      </c>
      <c r="J73" s="14"/>
      <c r="K73" s="14"/>
      <c r="L73" s="14"/>
      <c r="M73" s="14"/>
      <c r="N73" s="14"/>
    </row>
    <row r="74" spans="1:14" ht="30.75">
      <c r="A74" s="46">
        <v>20</v>
      </c>
      <c r="B74" s="7" t="s">
        <v>110</v>
      </c>
      <c r="C74" s="14"/>
      <c r="D74" s="14"/>
      <c r="E74" s="14">
        <f t="shared" si="3"/>
        <v>0</v>
      </c>
      <c r="F74" s="14"/>
      <c r="G74" s="14">
        <f t="shared" si="4"/>
        <v>0</v>
      </c>
      <c r="H74" s="14"/>
      <c r="I74" s="14">
        <f t="shared" si="5"/>
        <v>0</v>
      </c>
      <c r="J74" s="14"/>
      <c r="K74" s="14"/>
      <c r="L74" s="14"/>
      <c r="M74" s="14"/>
      <c r="N74" s="14"/>
    </row>
    <row r="75" spans="1:14" ht="30.75">
      <c r="A75" s="46">
        <v>21</v>
      </c>
      <c r="B75" s="7" t="s">
        <v>111</v>
      </c>
      <c r="C75" s="14"/>
      <c r="D75" s="14"/>
      <c r="E75" s="14">
        <f t="shared" si="3"/>
        <v>0</v>
      </c>
      <c r="F75" s="14"/>
      <c r="G75" s="14">
        <f t="shared" si="4"/>
        <v>0</v>
      </c>
      <c r="H75" s="14"/>
      <c r="I75" s="14">
        <f t="shared" si="5"/>
        <v>0</v>
      </c>
      <c r="J75" s="14"/>
      <c r="K75" s="14"/>
      <c r="L75" s="14"/>
      <c r="M75" s="14"/>
      <c r="N75" s="14"/>
    </row>
    <row r="76" spans="1:14" ht="15">
      <c r="A76" s="46" t="s">
        <v>27</v>
      </c>
      <c r="B76" s="7" t="s">
        <v>112</v>
      </c>
      <c r="C76" s="14"/>
      <c r="D76" s="14"/>
      <c r="E76" s="14">
        <f t="shared" si="3"/>
        <v>0</v>
      </c>
      <c r="F76" s="14"/>
      <c r="G76" s="14">
        <f t="shared" si="4"/>
        <v>0</v>
      </c>
      <c r="H76" s="14"/>
      <c r="I76" s="14">
        <f t="shared" si="5"/>
        <v>0</v>
      </c>
      <c r="J76" s="14"/>
      <c r="K76" s="14"/>
      <c r="L76" s="14"/>
      <c r="M76" s="14"/>
      <c r="N76" s="14"/>
    </row>
    <row r="77" spans="1:14" ht="30.75">
      <c r="A77" s="46" t="s">
        <v>29</v>
      </c>
      <c r="B77" s="7" t="s">
        <v>113</v>
      </c>
      <c r="C77" s="14"/>
      <c r="D77" s="14"/>
      <c r="E77" s="14">
        <f aca="true" t="shared" si="6" ref="E77:E82">+D77</f>
        <v>0</v>
      </c>
      <c r="F77" s="14"/>
      <c r="G77" s="14">
        <f aca="true" t="shared" si="7" ref="G77:G82">+F77</f>
        <v>0</v>
      </c>
      <c r="H77" s="14"/>
      <c r="I77" s="14">
        <f aca="true" t="shared" si="8" ref="I77:I82">+H77</f>
        <v>0</v>
      </c>
      <c r="J77" s="14"/>
      <c r="K77" s="14"/>
      <c r="L77" s="14"/>
      <c r="M77" s="14"/>
      <c r="N77" s="14"/>
    </row>
    <row r="78" spans="1:14" ht="15">
      <c r="A78" s="46">
        <v>1</v>
      </c>
      <c r="B78" s="7" t="s">
        <v>114</v>
      </c>
      <c r="C78" s="14"/>
      <c r="D78" s="14"/>
      <c r="E78" s="14">
        <f t="shared" si="6"/>
        <v>0</v>
      </c>
      <c r="F78" s="14"/>
      <c r="G78" s="14">
        <f t="shared" si="7"/>
        <v>0</v>
      </c>
      <c r="H78" s="14"/>
      <c r="I78" s="14">
        <f t="shared" si="8"/>
        <v>0</v>
      </c>
      <c r="J78" s="14"/>
      <c r="K78" s="14"/>
      <c r="L78" s="14"/>
      <c r="M78" s="14"/>
      <c r="N78" s="14"/>
    </row>
    <row r="79" spans="1:14" ht="15">
      <c r="A79" s="46">
        <v>2</v>
      </c>
      <c r="B79" s="7" t="s">
        <v>34</v>
      </c>
      <c r="C79" s="14"/>
      <c r="D79" s="14"/>
      <c r="E79" s="14">
        <f t="shared" si="6"/>
        <v>0</v>
      </c>
      <c r="F79" s="14"/>
      <c r="G79" s="14">
        <f t="shared" si="7"/>
        <v>0</v>
      </c>
      <c r="H79" s="14"/>
      <c r="I79" s="14">
        <f t="shared" si="8"/>
        <v>0</v>
      </c>
      <c r="J79" s="14"/>
      <c r="K79" s="14"/>
      <c r="L79" s="14"/>
      <c r="M79" s="14"/>
      <c r="N79" s="14"/>
    </row>
    <row r="80" spans="1:14" ht="15">
      <c r="A80" s="46">
        <v>3</v>
      </c>
      <c r="B80" s="7" t="s">
        <v>115</v>
      </c>
      <c r="C80" s="14"/>
      <c r="D80" s="14"/>
      <c r="E80" s="14">
        <f t="shared" si="6"/>
        <v>0</v>
      </c>
      <c r="F80" s="14"/>
      <c r="G80" s="14">
        <f t="shared" si="7"/>
        <v>0</v>
      </c>
      <c r="H80" s="14"/>
      <c r="I80" s="14">
        <f t="shared" si="8"/>
        <v>0</v>
      </c>
      <c r="J80" s="14"/>
      <c r="K80" s="14"/>
      <c r="L80" s="14"/>
      <c r="M80" s="14"/>
      <c r="N80" s="14"/>
    </row>
    <row r="81" spans="1:14" ht="15">
      <c r="A81" s="46">
        <v>4</v>
      </c>
      <c r="B81" s="7" t="s">
        <v>19</v>
      </c>
      <c r="C81" s="14"/>
      <c r="D81" s="14"/>
      <c r="E81" s="14">
        <f t="shared" si="6"/>
        <v>0</v>
      </c>
      <c r="F81" s="14"/>
      <c r="G81" s="14">
        <f t="shared" si="7"/>
        <v>0</v>
      </c>
      <c r="H81" s="14"/>
      <c r="I81" s="14">
        <f t="shared" si="8"/>
        <v>0</v>
      </c>
      <c r="J81" s="14"/>
      <c r="K81" s="14"/>
      <c r="L81" s="14"/>
      <c r="M81" s="14"/>
      <c r="N81" s="14"/>
    </row>
    <row r="82" spans="1:14" ht="15">
      <c r="A82" s="46">
        <v>5</v>
      </c>
      <c r="B82" s="7" t="s">
        <v>116</v>
      </c>
      <c r="C82" s="14"/>
      <c r="D82" s="14"/>
      <c r="E82" s="14">
        <f t="shared" si="6"/>
        <v>0</v>
      </c>
      <c r="F82" s="14"/>
      <c r="G82" s="14">
        <f t="shared" si="7"/>
        <v>0</v>
      </c>
      <c r="H82" s="14"/>
      <c r="I82" s="14">
        <f t="shared" si="8"/>
        <v>0</v>
      </c>
      <c r="J82" s="14"/>
      <c r="K82" s="14"/>
      <c r="L82" s="14"/>
      <c r="M82" s="14"/>
      <c r="N82" s="14"/>
    </row>
    <row r="83" ht="15">
      <c r="A83" s="2" t="s">
        <v>117</v>
      </c>
    </row>
    <row r="84" ht="15">
      <c r="A84" s="2"/>
    </row>
    <row r="85" spans="1:14" ht="15">
      <c r="A85" s="107"/>
      <c r="F85" s="109"/>
      <c r="G85" s="109"/>
      <c r="H85" s="109"/>
      <c r="I85" s="109"/>
      <c r="J85" s="24"/>
      <c r="K85" s="24"/>
      <c r="L85" s="24"/>
      <c r="M85" s="24"/>
      <c r="N85" s="24"/>
    </row>
    <row r="86" spans="1:14" ht="15">
      <c r="A86" s="107"/>
      <c r="F86" s="110"/>
      <c r="G86" s="110"/>
      <c r="H86" s="110"/>
      <c r="I86" s="110"/>
      <c r="J86" s="25"/>
      <c r="K86" s="25"/>
      <c r="L86" s="25"/>
      <c r="M86" s="25"/>
      <c r="N86" s="25"/>
    </row>
    <row r="87" spans="1:14" ht="15">
      <c r="A87" s="107"/>
      <c r="F87" s="110"/>
      <c r="G87" s="110"/>
      <c r="H87" s="110"/>
      <c r="I87" s="110"/>
      <c r="J87" s="25"/>
      <c r="K87" s="25"/>
      <c r="L87" s="25"/>
      <c r="M87" s="25"/>
      <c r="N87" s="25"/>
    </row>
    <row r="88" spans="1:14" ht="15">
      <c r="A88" s="107"/>
      <c r="F88" s="109"/>
      <c r="G88" s="109"/>
      <c r="H88" s="109"/>
      <c r="I88" s="109"/>
      <c r="J88" s="24"/>
      <c r="K88" s="24"/>
      <c r="L88" s="24"/>
      <c r="M88" s="24"/>
      <c r="N88" s="24"/>
    </row>
  </sheetData>
  <sheetProtection/>
  <mergeCells count="16">
    <mergeCell ref="H1:N1"/>
    <mergeCell ref="J6:N6"/>
    <mergeCell ref="C6:C7"/>
    <mergeCell ref="A3:N3"/>
    <mergeCell ref="A4:N4"/>
    <mergeCell ref="H6:I6"/>
    <mergeCell ref="I5:N5"/>
    <mergeCell ref="F85:I85"/>
    <mergeCell ref="F86:I86"/>
    <mergeCell ref="F87:I87"/>
    <mergeCell ref="F88:I88"/>
    <mergeCell ref="A6:A7"/>
    <mergeCell ref="B6:B7"/>
    <mergeCell ref="D6:E6"/>
    <mergeCell ref="F6:G6"/>
    <mergeCell ref="A85:A88"/>
  </mergeCells>
  <hyperlinks>
    <hyperlink ref="H1:I1" location="'PL tong hop'!A1" display="Mẫu biểu số 31/TT342"/>
  </hyperlink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tabColor rgb="FFFF0000"/>
  </sheetPr>
  <dimension ref="A1:Q114"/>
  <sheetViews>
    <sheetView showGridLines="0" zoomScalePageLayoutView="0" workbookViewId="0" topLeftCell="A1">
      <selection activeCell="Y10" sqref="Y10"/>
    </sheetView>
  </sheetViews>
  <sheetFormatPr defaultColWidth="9.140625" defaultRowHeight="15"/>
  <cols>
    <col min="1" max="1" width="6.00390625" style="55" customWidth="1"/>
    <col min="2" max="2" width="64.7109375" style="55" customWidth="1"/>
    <col min="3" max="4" width="14.8515625" style="56" customWidth="1"/>
    <col min="5" max="8" width="13.00390625" style="56" customWidth="1"/>
    <col min="9" max="9" width="13.00390625" style="56" hidden="1" customWidth="1"/>
    <col min="10" max="10" width="9.421875" style="55" hidden="1" customWidth="1"/>
    <col min="11" max="11" width="9.140625" style="55" hidden="1" customWidth="1"/>
    <col min="12" max="12" width="15.28125" style="55" hidden="1" customWidth="1"/>
    <col min="13" max="14" width="9.140625" style="55" hidden="1" customWidth="1"/>
    <col min="15" max="15" width="0.85546875" style="55" hidden="1" customWidth="1"/>
    <col min="16" max="18" width="9.140625" style="55" hidden="1" customWidth="1"/>
    <col min="19" max="23" width="0" style="55" hidden="1" customWidth="1"/>
    <col min="24" max="16384" width="8.8515625" style="55" customWidth="1"/>
  </cols>
  <sheetData>
    <row r="1" spans="1:9" s="52" customFormat="1" ht="15">
      <c r="A1" s="51"/>
      <c r="C1" s="53"/>
      <c r="D1" s="111" t="s">
        <v>171</v>
      </c>
      <c r="E1" s="111"/>
      <c r="F1" s="111"/>
      <c r="G1" s="111"/>
      <c r="H1" s="111"/>
      <c r="I1" s="23"/>
    </row>
    <row r="2" ht="15">
      <c r="A2" s="54"/>
    </row>
    <row r="3" spans="1:9" ht="15">
      <c r="A3" s="117" t="s">
        <v>168</v>
      </c>
      <c r="B3" s="117"/>
      <c r="C3" s="117"/>
      <c r="D3" s="117"/>
      <c r="E3" s="117"/>
      <c r="F3" s="117"/>
      <c r="G3" s="117"/>
      <c r="H3" s="117"/>
      <c r="I3" s="54"/>
    </row>
    <row r="4" spans="1:12" ht="15">
      <c r="A4" s="118" t="str">
        <f>+'31'!A4:I4</f>
        <v>(Kèm theo Báo cáo        /BC-UBND ngày       tháng       năm 2021 của Ủy ban nhân dân huyện Ia H'Drai)</v>
      </c>
      <c r="B4" s="118"/>
      <c r="C4" s="118"/>
      <c r="D4" s="118"/>
      <c r="E4" s="118"/>
      <c r="F4" s="118"/>
      <c r="G4" s="118"/>
      <c r="H4" s="118"/>
      <c r="I4" s="57"/>
      <c r="L4" s="55" t="s">
        <v>206</v>
      </c>
    </row>
    <row r="5" spans="4:9" ht="15">
      <c r="D5" s="113" t="s">
        <v>0</v>
      </c>
      <c r="E5" s="113"/>
      <c r="F5" s="113"/>
      <c r="G5" s="113"/>
      <c r="H5" s="113"/>
      <c r="I5" s="58"/>
    </row>
    <row r="6" spans="1:13" ht="46.5">
      <c r="A6" s="96" t="s">
        <v>1</v>
      </c>
      <c r="B6" s="96" t="s">
        <v>2</v>
      </c>
      <c r="C6" s="97" t="s">
        <v>240</v>
      </c>
      <c r="D6" s="97" t="s">
        <v>164</v>
      </c>
      <c r="E6" s="97" t="s">
        <v>163</v>
      </c>
      <c r="F6" s="97" t="s">
        <v>233</v>
      </c>
      <c r="G6" s="97" t="s">
        <v>234</v>
      </c>
      <c r="H6" s="97" t="s">
        <v>235</v>
      </c>
      <c r="I6" s="61"/>
      <c r="J6" s="62"/>
      <c r="L6" s="56">
        <f>+'31'!G9</f>
        <v>73399.5</v>
      </c>
      <c r="M6" s="63">
        <f>+L6-'31'!G54</f>
        <v>55948.5</v>
      </c>
    </row>
    <row r="7" spans="1:13" ht="15">
      <c r="A7" s="64" t="s">
        <v>5</v>
      </c>
      <c r="B7" s="64" t="s">
        <v>6</v>
      </c>
      <c r="C7" s="65">
        <v>1</v>
      </c>
      <c r="D7" s="65">
        <v>2</v>
      </c>
      <c r="E7" s="65">
        <v>3</v>
      </c>
      <c r="F7" s="65">
        <v>4</v>
      </c>
      <c r="G7" s="65">
        <v>5</v>
      </c>
      <c r="H7" s="65">
        <v>6</v>
      </c>
      <c r="I7" s="66"/>
      <c r="L7" s="67">
        <v>1987.440376</v>
      </c>
      <c r="M7" s="63">
        <f>+M6-24525+4400</f>
        <v>35823.5</v>
      </c>
    </row>
    <row r="8" spans="1:16" ht="15">
      <c r="A8" s="59" t="s">
        <v>5</v>
      </c>
      <c r="B8" s="68" t="s">
        <v>216</v>
      </c>
      <c r="C8" s="60">
        <f>+C9+C57+C106</f>
        <v>141344.58000000002</v>
      </c>
      <c r="D8" s="60">
        <f>+D9+D57+D106</f>
        <v>169813.83357000002</v>
      </c>
      <c r="E8" s="60">
        <f>+E9+E57+E106</f>
        <v>124549.74200000001</v>
      </c>
      <c r="F8" s="60">
        <f>+D8/C8%</f>
        <v>120.14173700187159</v>
      </c>
      <c r="G8" s="60">
        <f>+E8/D8%</f>
        <v>73.34487384307155</v>
      </c>
      <c r="H8" s="60">
        <f>+E8/C8%</f>
        <v>88.11780543689754</v>
      </c>
      <c r="I8" s="69"/>
      <c r="L8" s="56">
        <v>84590.881688</v>
      </c>
      <c r="P8" s="55">
        <v>251425.321</v>
      </c>
    </row>
    <row r="9" spans="1:17" ht="15">
      <c r="A9" s="59" t="s">
        <v>7</v>
      </c>
      <c r="B9" s="68" t="s">
        <v>118</v>
      </c>
      <c r="C9" s="60">
        <f>+C11++C39+C53+C54+C55+C56</f>
        <v>115156.58</v>
      </c>
      <c r="D9" s="60">
        <f>+D11++D39+D53+D54+D55+D56</f>
        <v>112605.27</v>
      </c>
      <c r="E9" s="65">
        <f>+E11++E39+E53+E54+E55+E56</f>
        <v>116762.74200000001</v>
      </c>
      <c r="F9" s="65">
        <f aca="true" t="shared" si="0" ref="F9:F72">+D9/C9%</f>
        <v>97.78448613183892</v>
      </c>
      <c r="G9" s="65">
        <f aca="true" t="shared" si="1" ref="G9:G72">+E9/D9%</f>
        <v>103.69207586820761</v>
      </c>
      <c r="H9" s="65">
        <f aca="true" t="shared" si="2" ref="H9:H72">+E9/C9%</f>
        <v>101.39476354716335</v>
      </c>
      <c r="I9" s="66"/>
      <c r="L9" s="56">
        <v>86799</v>
      </c>
      <c r="M9" s="55">
        <f>24525-4400</f>
        <v>20125</v>
      </c>
      <c r="Q9" s="55">
        <v>217.81</v>
      </c>
    </row>
    <row r="10" spans="1:17" ht="48">
      <c r="A10" s="64"/>
      <c r="B10" s="70" t="s">
        <v>119</v>
      </c>
      <c r="C10" s="65"/>
      <c r="D10" s="65"/>
      <c r="E10" s="65"/>
      <c r="F10" s="65"/>
      <c r="G10" s="65"/>
      <c r="H10" s="65"/>
      <c r="I10" s="66"/>
      <c r="L10" s="56">
        <v>5000</v>
      </c>
      <c r="M10" s="63">
        <f>+D8+D107+D108</f>
        <v>225319.75567800002</v>
      </c>
      <c r="P10" s="63">
        <f>+E8-E11-E61-E62-E63-E64-P58</f>
        <v>118262.74200000001</v>
      </c>
      <c r="Q10" s="63">
        <f>+D8+D108</f>
        <v>225319.75567800002</v>
      </c>
    </row>
    <row r="11" spans="1:16" ht="15">
      <c r="A11" s="59">
        <v>1</v>
      </c>
      <c r="B11" s="68" t="s">
        <v>36</v>
      </c>
      <c r="C11" s="65">
        <f>+C12+C13</f>
        <v>39746.58</v>
      </c>
      <c r="D11" s="65">
        <f>+D12+D13</f>
        <v>35220</v>
      </c>
      <c r="E11" s="65">
        <f>+E12+E13</f>
        <v>10326</v>
      </c>
      <c r="F11" s="65">
        <f t="shared" si="0"/>
        <v>88.61139750891775</v>
      </c>
      <c r="G11" s="65">
        <f t="shared" si="1"/>
        <v>29.31856899488927</v>
      </c>
      <c r="H11" s="65">
        <f t="shared" si="2"/>
        <v>25.97959371598764</v>
      </c>
      <c r="I11" s="66"/>
      <c r="L11" s="63">
        <f>SUM(L6:L10)</f>
        <v>251776.822064</v>
      </c>
      <c r="P11" s="63">
        <f>+P10-E55</f>
        <v>115927.74200000001</v>
      </c>
    </row>
    <row r="12" spans="1:12" ht="46.5">
      <c r="A12" s="59" t="s">
        <v>9</v>
      </c>
      <c r="B12" s="68" t="s">
        <v>120</v>
      </c>
      <c r="C12" s="65"/>
      <c r="D12" s="65"/>
      <c r="E12" s="65"/>
      <c r="F12" s="65"/>
      <c r="G12" s="65"/>
      <c r="H12" s="65"/>
      <c r="I12" s="66"/>
      <c r="L12" s="63">
        <f>+D8+D108</f>
        <v>225319.75567800002</v>
      </c>
    </row>
    <row r="13" spans="1:12" ht="15">
      <c r="A13" s="59" t="s">
        <v>42</v>
      </c>
      <c r="B13" s="68" t="s">
        <v>121</v>
      </c>
      <c r="C13" s="65">
        <f>+C15</f>
        <v>39746.58</v>
      </c>
      <c r="D13" s="65">
        <f>+D15</f>
        <v>35220</v>
      </c>
      <c r="E13" s="65">
        <f>+E15</f>
        <v>10326</v>
      </c>
      <c r="F13" s="65">
        <f t="shared" si="0"/>
        <v>88.61139750891775</v>
      </c>
      <c r="G13" s="65">
        <f t="shared" si="1"/>
        <v>29.31856899488927</v>
      </c>
      <c r="H13" s="65">
        <f t="shared" si="2"/>
        <v>25.97959371598764</v>
      </c>
      <c r="I13" s="66"/>
      <c r="L13" s="63">
        <f>+L11-L12</f>
        <v>26457.06638599999</v>
      </c>
    </row>
    <row r="14" spans="1:9" ht="15">
      <c r="A14" s="59"/>
      <c r="B14" s="68" t="s">
        <v>46</v>
      </c>
      <c r="C14" s="65"/>
      <c r="D14" s="65"/>
      <c r="E14" s="65"/>
      <c r="F14" s="65"/>
      <c r="G14" s="65"/>
      <c r="H14" s="65"/>
      <c r="I14" s="66"/>
    </row>
    <row r="15" spans="1:10" ht="15">
      <c r="A15" s="59" t="s">
        <v>122</v>
      </c>
      <c r="B15" s="68" t="s">
        <v>123</v>
      </c>
      <c r="C15" s="65">
        <f>SUM(C16:C24)</f>
        <v>39746.58</v>
      </c>
      <c r="D15" s="65">
        <f>SUM(D16:D24)</f>
        <v>35220</v>
      </c>
      <c r="E15" s="65">
        <f>SUM(E16:E24)</f>
        <v>10326</v>
      </c>
      <c r="F15" s="65">
        <f t="shared" si="0"/>
        <v>88.61139750891775</v>
      </c>
      <c r="G15" s="65">
        <f t="shared" si="1"/>
        <v>29.31856899488927</v>
      </c>
      <c r="H15" s="65">
        <f t="shared" si="2"/>
        <v>25.97959371598764</v>
      </c>
      <c r="I15" s="65"/>
      <c r="J15" s="65">
        <f>SUM(J16:J24)</f>
        <v>4993</v>
      </c>
    </row>
    <row r="16" spans="1:9" ht="15">
      <c r="A16" s="64" t="s">
        <v>38</v>
      </c>
      <c r="B16" s="71" t="s">
        <v>124</v>
      </c>
      <c r="C16" s="65">
        <v>5926</v>
      </c>
      <c r="D16" s="65">
        <v>5924</v>
      </c>
      <c r="E16" s="65">
        <v>5926</v>
      </c>
      <c r="F16" s="65">
        <f t="shared" si="0"/>
        <v>99.96625042186973</v>
      </c>
      <c r="G16" s="65">
        <f t="shared" si="1"/>
        <v>100.033760972316</v>
      </c>
      <c r="H16" s="65">
        <f t="shared" si="2"/>
        <v>100</v>
      </c>
      <c r="I16" s="66"/>
    </row>
    <row r="17" spans="1:10" ht="15">
      <c r="A17" s="64" t="s">
        <v>39</v>
      </c>
      <c r="B17" s="71" t="s">
        <v>125</v>
      </c>
      <c r="C17" s="65">
        <v>33820.58</v>
      </c>
      <c r="D17" s="65">
        <f>1420+24167</f>
        <v>25587</v>
      </c>
      <c r="E17" s="65">
        <v>4400</v>
      </c>
      <c r="F17" s="65">
        <f t="shared" si="0"/>
        <v>75.65511886549551</v>
      </c>
      <c r="G17" s="65">
        <f t="shared" si="1"/>
        <v>17.196232461797006</v>
      </c>
      <c r="H17" s="65">
        <f t="shared" si="2"/>
        <v>13.009830109359449</v>
      </c>
      <c r="I17" s="66"/>
      <c r="J17" s="55">
        <f>27765-17819-4953</f>
        <v>4993</v>
      </c>
    </row>
    <row r="18" spans="1:9" ht="15">
      <c r="A18" s="64" t="s">
        <v>40</v>
      </c>
      <c r="B18" s="71" t="s">
        <v>126</v>
      </c>
      <c r="C18" s="65"/>
      <c r="D18" s="72"/>
      <c r="E18" s="65"/>
      <c r="F18" s="65"/>
      <c r="G18" s="65"/>
      <c r="H18" s="65"/>
      <c r="I18" s="66"/>
    </row>
    <row r="19" spans="1:9" s="75" customFormat="1" ht="15">
      <c r="A19" s="64" t="s">
        <v>44</v>
      </c>
      <c r="B19" s="71" t="s">
        <v>200</v>
      </c>
      <c r="C19" s="73"/>
      <c r="D19" s="72">
        <v>633</v>
      </c>
      <c r="E19" s="73"/>
      <c r="F19" s="73"/>
      <c r="G19" s="73"/>
      <c r="H19" s="73"/>
      <c r="I19" s="74"/>
    </row>
    <row r="20" spans="1:9" s="75" customFormat="1" ht="15">
      <c r="A20" s="64" t="s">
        <v>134</v>
      </c>
      <c r="B20" s="71" t="s">
        <v>201</v>
      </c>
      <c r="C20" s="73"/>
      <c r="D20" s="72">
        <v>2926</v>
      </c>
      <c r="E20" s="73"/>
      <c r="F20" s="73"/>
      <c r="G20" s="73"/>
      <c r="H20" s="73"/>
      <c r="I20" s="74"/>
    </row>
    <row r="21" spans="1:9" s="75" customFormat="1" ht="15">
      <c r="A21" s="64" t="s">
        <v>229</v>
      </c>
      <c r="B21" s="71" t="s">
        <v>203</v>
      </c>
      <c r="C21" s="73"/>
      <c r="D21" s="72">
        <v>150</v>
      </c>
      <c r="E21" s="73"/>
      <c r="F21" s="73"/>
      <c r="G21" s="73"/>
      <c r="H21" s="73"/>
      <c r="I21" s="74"/>
    </row>
    <row r="22" spans="1:9" ht="15" hidden="1">
      <c r="A22" s="64"/>
      <c r="B22" s="71"/>
      <c r="C22" s="65"/>
      <c r="D22" s="72"/>
      <c r="E22" s="65"/>
      <c r="F22" s="65"/>
      <c r="G22" s="65"/>
      <c r="H22" s="65"/>
      <c r="I22" s="66"/>
    </row>
    <row r="23" spans="1:9" ht="15" hidden="1">
      <c r="A23" s="64"/>
      <c r="B23" s="71"/>
      <c r="C23" s="65"/>
      <c r="D23" s="72"/>
      <c r="E23" s="65"/>
      <c r="F23" s="65"/>
      <c r="G23" s="65"/>
      <c r="H23" s="65"/>
      <c r="I23" s="66"/>
    </row>
    <row r="24" spans="1:9" ht="15">
      <c r="A24" s="64" t="s">
        <v>136</v>
      </c>
      <c r="B24" s="71" t="s">
        <v>127</v>
      </c>
      <c r="C24" s="65"/>
      <c r="D24" s="65"/>
      <c r="E24" s="65"/>
      <c r="F24" s="65"/>
      <c r="G24" s="65"/>
      <c r="H24" s="65"/>
      <c r="I24" s="66"/>
    </row>
    <row r="25" spans="1:10" s="80" customFormat="1" ht="15" hidden="1">
      <c r="A25" s="76" t="s">
        <v>128</v>
      </c>
      <c r="B25" s="77" t="s">
        <v>129</v>
      </c>
      <c r="C25" s="78">
        <f>SUM(C26:C38)</f>
        <v>39746.58</v>
      </c>
      <c r="D25" s="78">
        <f>SUM(D26:D38)</f>
        <v>44543.317</v>
      </c>
      <c r="E25" s="78">
        <f>SUM(E26:E38)</f>
        <v>27670</v>
      </c>
      <c r="F25" s="78">
        <f t="shared" si="0"/>
        <v>112.06830122239448</v>
      </c>
      <c r="G25" s="78">
        <f t="shared" si="1"/>
        <v>62.11930736994732</v>
      </c>
      <c r="H25" s="78">
        <f t="shared" si="2"/>
        <v>69.61605250061767</v>
      </c>
      <c r="I25" s="79"/>
      <c r="J25" s="80">
        <f>48415-500</f>
        <v>47915</v>
      </c>
    </row>
    <row r="26" spans="1:9" s="80" customFormat="1" ht="15" hidden="1">
      <c r="A26" s="81" t="s">
        <v>38</v>
      </c>
      <c r="B26" s="82" t="s">
        <v>41</v>
      </c>
      <c r="C26" s="83">
        <v>50</v>
      </c>
      <c r="D26" s="83">
        <v>50</v>
      </c>
      <c r="E26" s="83"/>
      <c r="F26" s="83">
        <f t="shared" si="0"/>
        <v>100</v>
      </c>
      <c r="G26" s="83">
        <f t="shared" si="1"/>
        <v>0</v>
      </c>
      <c r="H26" s="83">
        <f t="shared" si="2"/>
        <v>0</v>
      </c>
      <c r="I26" s="84"/>
    </row>
    <row r="27" spans="1:9" s="80" customFormat="1" ht="15" hidden="1">
      <c r="A27" s="81" t="s">
        <v>39</v>
      </c>
      <c r="B27" s="82" t="s">
        <v>130</v>
      </c>
      <c r="C27" s="83"/>
      <c r="D27" s="83"/>
      <c r="E27" s="83"/>
      <c r="F27" s="83" t="e">
        <f t="shared" si="0"/>
        <v>#DIV/0!</v>
      </c>
      <c r="G27" s="83" t="e">
        <f t="shared" si="1"/>
        <v>#DIV/0!</v>
      </c>
      <c r="H27" s="83" t="e">
        <f t="shared" si="2"/>
        <v>#DIV/0!</v>
      </c>
      <c r="I27" s="84"/>
    </row>
    <row r="28" spans="1:9" s="80" customFormat="1" ht="15" hidden="1">
      <c r="A28" s="81" t="s">
        <v>40</v>
      </c>
      <c r="B28" s="82" t="s">
        <v>131</v>
      </c>
      <c r="C28" s="83"/>
      <c r="D28" s="83"/>
      <c r="E28" s="83"/>
      <c r="F28" s="83" t="e">
        <f t="shared" si="0"/>
        <v>#DIV/0!</v>
      </c>
      <c r="G28" s="83" t="e">
        <f t="shared" si="1"/>
        <v>#DIV/0!</v>
      </c>
      <c r="H28" s="83" t="e">
        <f t="shared" si="2"/>
        <v>#DIV/0!</v>
      </c>
      <c r="I28" s="84"/>
    </row>
    <row r="29" spans="1:9" s="80" customFormat="1" ht="15" hidden="1">
      <c r="A29" s="81" t="s">
        <v>44</v>
      </c>
      <c r="B29" s="82" t="s">
        <v>132</v>
      </c>
      <c r="C29" s="83"/>
      <c r="D29" s="83"/>
      <c r="E29" s="83"/>
      <c r="F29" s="83" t="e">
        <f t="shared" si="0"/>
        <v>#DIV/0!</v>
      </c>
      <c r="G29" s="83" t="e">
        <f t="shared" si="1"/>
        <v>#DIV/0!</v>
      </c>
      <c r="H29" s="83" t="e">
        <f t="shared" si="2"/>
        <v>#DIV/0!</v>
      </c>
      <c r="I29" s="84"/>
    </row>
    <row r="30" spans="1:9" s="80" customFormat="1" ht="15" hidden="1">
      <c r="A30" s="81" t="s">
        <v>45</v>
      </c>
      <c r="B30" s="82" t="s">
        <v>133</v>
      </c>
      <c r="C30" s="83"/>
      <c r="D30" s="83"/>
      <c r="E30" s="83"/>
      <c r="F30" s="83" t="e">
        <f t="shared" si="0"/>
        <v>#DIV/0!</v>
      </c>
      <c r="G30" s="83" t="e">
        <f t="shared" si="1"/>
        <v>#DIV/0!</v>
      </c>
      <c r="H30" s="83" t="e">
        <f t="shared" si="2"/>
        <v>#DIV/0!</v>
      </c>
      <c r="I30" s="84"/>
    </row>
    <row r="31" spans="1:11" s="80" customFormat="1" ht="15" hidden="1">
      <c r="A31" s="81" t="s">
        <v>134</v>
      </c>
      <c r="B31" s="82" t="s">
        <v>135</v>
      </c>
      <c r="C31" s="83">
        <v>100</v>
      </c>
      <c r="D31" s="83">
        <f>100+100</f>
        <v>200</v>
      </c>
      <c r="E31" s="83"/>
      <c r="F31" s="83">
        <f t="shared" si="0"/>
        <v>200</v>
      </c>
      <c r="G31" s="83">
        <f t="shared" si="1"/>
        <v>0</v>
      </c>
      <c r="H31" s="83">
        <f t="shared" si="2"/>
        <v>0</v>
      </c>
      <c r="I31" s="84"/>
      <c r="K31" s="85">
        <f>+E8-'[1]32'!$F$35</f>
        <v>92150.69200000001</v>
      </c>
    </row>
    <row r="32" spans="1:9" s="80" customFormat="1" ht="15" hidden="1">
      <c r="A32" s="81" t="s">
        <v>136</v>
      </c>
      <c r="B32" s="82" t="s">
        <v>137</v>
      </c>
      <c r="C32" s="83"/>
      <c r="D32" s="83"/>
      <c r="E32" s="83"/>
      <c r="F32" s="83" t="e">
        <f t="shared" si="0"/>
        <v>#DIV/0!</v>
      </c>
      <c r="G32" s="83" t="e">
        <f t="shared" si="1"/>
        <v>#DIV/0!</v>
      </c>
      <c r="H32" s="83" t="e">
        <f t="shared" si="2"/>
        <v>#DIV/0!</v>
      </c>
      <c r="I32" s="84"/>
    </row>
    <row r="33" spans="1:9" s="80" customFormat="1" ht="15" hidden="1">
      <c r="A33" s="81" t="s">
        <v>138</v>
      </c>
      <c r="B33" s="82" t="s">
        <v>139</v>
      </c>
      <c r="C33" s="83"/>
      <c r="D33" s="83"/>
      <c r="E33" s="83"/>
      <c r="F33" s="83" t="e">
        <f t="shared" si="0"/>
        <v>#DIV/0!</v>
      </c>
      <c r="G33" s="83" t="e">
        <f t="shared" si="1"/>
        <v>#DIV/0!</v>
      </c>
      <c r="H33" s="83" t="e">
        <f t="shared" si="2"/>
        <v>#DIV/0!</v>
      </c>
      <c r="I33" s="84"/>
    </row>
    <row r="34" spans="1:9" s="80" customFormat="1" ht="15" hidden="1">
      <c r="A34" s="81" t="s">
        <v>140</v>
      </c>
      <c r="B34" s="82" t="s">
        <v>141</v>
      </c>
      <c r="C34" s="83"/>
      <c r="D34" s="83"/>
      <c r="E34" s="83"/>
      <c r="F34" s="83" t="e">
        <f t="shared" si="0"/>
        <v>#DIV/0!</v>
      </c>
      <c r="G34" s="83" t="e">
        <f t="shared" si="1"/>
        <v>#DIV/0!</v>
      </c>
      <c r="H34" s="83" t="e">
        <f t="shared" si="2"/>
        <v>#DIV/0!</v>
      </c>
      <c r="I34" s="84"/>
    </row>
    <row r="35" spans="1:10" s="80" customFormat="1" ht="15" hidden="1">
      <c r="A35" s="81" t="s">
        <v>142</v>
      </c>
      <c r="B35" s="82" t="s">
        <v>143</v>
      </c>
      <c r="C35" s="83">
        <f>5926-350+33820.58</f>
        <v>39396.58</v>
      </c>
      <c r="D35" s="83">
        <f>4993+37645+1405.317</f>
        <v>44043.317</v>
      </c>
      <c r="E35" s="83">
        <v>27670</v>
      </c>
      <c r="F35" s="83">
        <f t="shared" si="0"/>
        <v>111.79477254116982</v>
      </c>
      <c r="G35" s="83">
        <f t="shared" si="1"/>
        <v>62.82451432983578</v>
      </c>
      <c r="H35" s="83">
        <f t="shared" si="2"/>
        <v>70.23452289513455</v>
      </c>
      <c r="I35" s="84"/>
      <c r="J35" s="85">
        <f>38145-D26-D31-D36</f>
        <v>37645</v>
      </c>
    </row>
    <row r="36" spans="1:9" s="80" customFormat="1" ht="15" hidden="1">
      <c r="A36" s="81" t="s">
        <v>144</v>
      </c>
      <c r="B36" s="82" t="s">
        <v>145</v>
      </c>
      <c r="C36" s="83">
        <v>200</v>
      </c>
      <c r="D36" s="83">
        <v>250</v>
      </c>
      <c r="E36" s="83"/>
      <c r="F36" s="83">
        <f t="shared" si="0"/>
        <v>125</v>
      </c>
      <c r="G36" s="83">
        <f t="shared" si="1"/>
        <v>0</v>
      </c>
      <c r="H36" s="83">
        <f t="shared" si="2"/>
        <v>0</v>
      </c>
      <c r="I36" s="84"/>
    </row>
    <row r="37" spans="1:9" s="80" customFormat="1" ht="15" hidden="1">
      <c r="A37" s="81" t="s">
        <v>146</v>
      </c>
      <c r="B37" s="82" t="s">
        <v>35</v>
      </c>
      <c r="C37" s="83"/>
      <c r="D37" s="83"/>
      <c r="E37" s="83"/>
      <c r="F37" s="83" t="e">
        <f t="shared" si="0"/>
        <v>#DIV/0!</v>
      </c>
      <c r="G37" s="83" t="e">
        <f t="shared" si="1"/>
        <v>#DIV/0!</v>
      </c>
      <c r="H37" s="83" t="e">
        <f t="shared" si="2"/>
        <v>#DIV/0!</v>
      </c>
      <c r="I37" s="84"/>
    </row>
    <row r="38" spans="1:12" s="80" customFormat="1" ht="15" hidden="1">
      <c r="A38" s="81" t="s">
        <v>147</v>
      </c>
      <c r="B38" s="82" t="s">
        <v>148</v>
      </c>
      <c r="C38" s="83"/>
      <c r="D38" s="83"/>
      <c r="E38" s="83"/>
      <c r="F38" s="83" t="e">
        <f t="shared" si="0"/>
        <v>#DIV/0!</v>
      </c>
      <c r="G38" s="83" t="e">
        <f t="shared" si="1"/>
        <v>#DIV/0!</v>
      </c>
      <c r="H38" s="83" t="e">
        <f t="shared" si="2"/>
        <v>#DIV/0!</v>
      </c>
      <c r="I38" s="84"/>
      <c r="L38" s="80">
        <f>1689*0.7</f>
        <v>1182.3</v>
      </c>
    </row>
    <row r="39" spans="1:9" s="86" customFormat="1" ht="15">
      <c r="A39" s="59">
        <v>2</v>
      </c>
      <c r="B39" s="68" t="s">
        <v>37</v>
      </c>
      <c r="C39" s="60">
        <f>SUM(C40:C52)</f>
        <v>73020</v>
      </c>
      <c r="D39" s="60">
        <f>SUM(D40:D52)</f>
        <v>77385.27</v>
      </c>
      <c r="E39" s="60">
        <f>SUM(E40:E52)</f>
        <v>104101.74200000001</v>
      </c>
      <c r="F39" s="60">
        <f t="shared" si="0"/>
        <v>105.97818405916188</v>
      </c>
      <c r="G39" s="60">
        <f t="shared" si="1"/>
        <v>134.52397594529296</v>
      </c>
      <c r="H39" s="60">
        <f t="shared" si="2"/>
        <v>142.5660668310052</v>
      </c>
      <c r="I39" s="69">
        <f>+D8+D108</f>
        <v>225319.75567800002</v>
      </c>
    </row>
    <row r="40" spans="1:10" ht="15">
      <c r="A40" s="87" t="s">
        <v>38</v>
      </c>
      <c r="B40" s="88" t="s">
        <v>41</v>
      </c>
      <c r="C40" s="65">
        <v>29357</v>
      </c>
      <c r="D40" s="65">
        <v>29655</v>
      </c>
      <c r="E40" s="65">
        <v>42409</v>
      </c>
      <c r="F40" s="65">
        <f t="shared" si="0"/>
        <v>101.01509009776204</v>
      </c>
      <c r="G40" s="65">
        <f t="shared" si="1"/>
        <v>143.0079244646771</v>
      </c>
      <c r="H40" s="65">
        <f t="shared" si="2"/>
        <v>144.45958374493307</v>
      </c>
      <c r="I40" s="66">
        <f>+I39-D108-55433</f>
        <v>114380.83357000002</v>
      </c>
      <c r="J40" s="55">
        <f>113.688+166.2</f>
        <v>279.888</v>
      </c>
    </row>
    <row r="41" spans="1:9" ht="15" customHeight="1">
      <c r="A41" s="87" t="s">
        <v>39</v>
      </c>
      <c r="B41" s="88" t="s">
        <v>130</v>
      </c>
      <c r="C41" s="65">
        <v>150</v>
      </c>
      <c r="D41" s="65">
        <v>150</v>
      </c>
      <c r="E41" s="65">
        <v>350</v>
      </c>
      <c r="F41" s="65">
        <f t="shared" si="0"/>
        <v>100</v>
      </c>
      <c r="G41" s="65">
        <f t="shared" si="1"/>
        <v>233.33333333333334</v>
      </c>
      <c r="H41" s="65">
        <f t="shared" si="2"/>
        <v>233.33333333333334</v>
      </c>
      <c r="I41" s="66"/>
    </row>
    <row r="42" spans="1:9" ht="15">
      <c r="A42" s="87" t="s">
        <v>40</v>
      </c>
      <c r="B42" s="88" t="s">
        <v>131</v>
      </c>
      <c r="C42" s="65">
        <v>3973.308</v>
      </c>
      <c r="D42" s="65">
        <v>3973</v>
      </c>
      <c r="E42" s="65">
        <v>5338.249</v>
      </c>
      <c r="F42" s="65">
        <f t="shared" si="0"/>
        <v>99.99224827272388</v>
      </c>
      <c r="G42" s="65">
        <f t="shared" si="1"/>
        <v>134.3631764409766</v>
      </c>
      <c r="H42" s="65">
        <f t="shared" si="2"/>
        <v>134.35276097397934</v>
      </c>
      <c r="I42" s="66"/>
    </row>
    <row r="43" spans="1:9" ht="15">
      <c r="A43" s="87" t="s">
        <v>44</v>
      </c>
      <c r="B43" s="88" t="s">
        <v>132</v>
      </c>
      <c r="C43" s="65">
        <v>680</v>
      </c>
      <c r="D43" s="65">
        <v>680</v>
      </c>
      <c r="E43" s="65">
        <v>1752</v>
      </c>
      <c r="F43" s="65">
        <f t="shared" si="0"/>
        <v>100</v>
      </c>
      <c r="G43" s="65">
        <f t="shared" si="1"/>
        <v>257.6470588235294</v>
      </c>
      <c r="H43" s="65">
        <f t="shared" si="2"/>
        <v>257.6470588235294</v>
      </c>
      <c r="I43" s="66"/>
    </row>
    <row r="44" spans="1:9" ht="15">
      <c r="A44" s="87" t="s">
        <v>45</v>
      </c>
      <c r="B44" s="88" t="s">
        <v>149</v>
      </c>
      <c r="C44" s="65"/>
      <c r="D44" s="65"/>
      <c r="E44" s="65"/>
      <c r="F44" s="65"/>
      <c r="G44" s="65"/>
      <c r="H44" s="65"/>
      <c r="I44" s="66"/>
    </row>
    <row r="45" spans="1:9" ht="15">
      <c r="A45" s="87" t="s">
        <v>134</v>
      </c>
      <c r="B45" s="88" t="s">
        <v>150</v>
      </c>
      <c r="C45" s="65">
        <v>932.222</v>
      </c>
      <c r="D45" s="65">
        <v>932.222</v>
      </c>
      <c r="E45" s="65">
        <v>1217.688</v>
      </c>
      <c r="F45" s="65">
        <f t="shared" si="0"/>
        <v>100</v>
      </c>
      <c r="G45" s="65">
        <f t="shared" si="1"/>
        <v>130.62210503506677</v>
      </c>
      <c r="H45" s="65">
        <f t="shared" si="2"/>
        <v>130.62210503506677</v>
      </c>
      <c r="I45" s="66"/>
    </row>
    <row r="46" spans="1:9" ht="15">
      <c r="A46" s="87" t="s">
        <v>136</v>
      </c>
      <c r="B46" s="88" t="s">
        <v>151</v>
      </c>
      <c r="C46" s="65">
        <v>728.393</v>
      </c>
      <c r="D46" s="65">
        <v>728.393</v>
      </c>
      <c r="E46" s="65">
        <v>1577.455</v>
      </c>
      <c r="F46" s="65">
        <f t="shared" si="0"/>
        <v>100</v>
      </c>
      <c r="G46" s="65">
        <f t="shared" si="1"/>
        <v>216.56646892542895</v>
      </c>
      <c r="H46" s="65">
        <f t="shared" si="2"/>
        <v>216.56646892542895</v>
      </c>
      <c r="I46" s="66"/>
    </row>
    <row r="47" spans="1:9" ht="15">
      <c r="A47" s="87" t="s">
        <v>138</v>
      </c>
      <c r="B47" s="88" t="s">
        <v>152</v>
      </c>
      <c r="C47" s="65">
        <v>150</v>
      </c>
      <c r="D47" s="65">
        <v>150</v>
      </c>
      <c r="E47" s="65">
        <v>220</v>
      </c>
      <c r="F47" s="65">
        <f t="shared" si="0"/>
        <v>100</v>
      </c>
      <c r="G47" s="65">
        <f t="shared" si="1"/>
        <v>146.66666666666666</v>
      </c>
      <c r="H47" s="65">
        <f t="shared" si="2"/>
        <v>146.66666666666666</v>
      </c>
      <c r="I47" s="66"/>
    </row>
    <row r="48" spans="1:9" ht="15">
      <c r="A48" s="87" t="s">
        <v>140</v>
      </c>
      <c r="B48" s="88" t="s">
        <v>153</v>
      </c>
      <c r="C48" s="65">
        <v>662</v>
      </c>
      <c r="D48" s="65">
        <v>662</v>
      </c>
      <c r="E48" s="65">
        <v>1942</v>
      </c>
      <c r="F48" s="65">
        <f t="shared" si="0"/>
        <v>100</v>
      </c>
      <c r="G48" s="65">
        <f t="shared" si="1"/>
        <v>293.3534743202417</v>
      </c>
      <c r="H48" s="65">
        <f t="shared" si="2"/>
        <v>293.3534743202417</v>
      </c>
      <c r="I48" s="66"/>
    </row>
    <row r="49" spans="1:9" ht="15">
      <c r="A49" s="87" t="s">
        <v>142</v>
      </c>
      <c r="B49" s="88" t="s">
        <v>143</v>
      </c>
      <c r="C49" s="65">
        <v>1059.655</v>
      </c>
      <c r="D49" s="65">
        <v>1059.655</v>
      </c>
      <c r="E49" s="65">
        <v>4085.485</v>
      </c>
      <c r="F49" s="65">
        <f t="shared" si="0"/>
        <v>99.99999999999999</v>
      </c>
      <c r="G49" s="65">
        <f t="shared" si="1"/>
        <v>385.54859836456205</v>
      </c>
      <c r="H49" s="65">
        <f t="shared" si="2"/>
        <v>385.54859836456205</v>
      </c>
      <c r="I49" s="66"/>
    </row>
    <row r="50" spans="1:11" ht="15">
      <c r="A50" s="87" t="s">
        <v>144</v>
      </c>
      <c r="B50" s="88" t="s">
        <v>145</v>
      </c>
      <c r="C50" s="65">
        <v>33425.422</v>
      </c>
      <c r="D50" s="65">
        <v>36374</v>
      </c>
      <c r="E50" s="65">
        <v>42631</v>
      </c>
      <c r="F50" s="65">
        <f t="shared" si="0"/>
        <v>108.82136357171497</v>
      </c>
      <c r="G50" s="65">
        <f t="shared" si="1"/>
        <v>117.20184747347005</v>
      </c>
      <c r="H50" s="65">
        <f t="shared" si="2"/>
        <v>127.5406485518717</v>
      </c>
      <c r="I50" s="66"/>
      <c r="K50" s="55" t="s">
        <v>205</v>
      </c>
    </row>
    <row r="51" spans="1:12" ht="15">
      <c r="A51" s="87" t="s">
        <v>146</v>
      </c>
      <c r="B51" s="88" t="s">
        <v>35</v>
      </c>
      <c r="C51" s="65">
        <v>1697</v>
      </c>
      <c r="D51" s="65">
        <v>1716</v>
      </c>
      <c r="E51" s="65">
        <v>2140</v>
      </c>
      <c r="F51" s="65">
        <f t="shared" si="0"/>
        <v>101.11962286387744</v>
      </c>
      <c r="G51" s="65">
        <f t="shared" si="1"/>
        <v>124.70862470862471</v>
      </c>
      <c r="H51" s="65">
        <f t="shared" si="2"/>
        <v>126.10489098408958</v>
      </c>
      <c r="I51" s="66"/>
      <c r="J51" s="55">
        <v>17.8084</v>
      </c>
      <c r="K51" s="89">
        <v>404</v>
      </c>
      <c r="L51" s="89">
        <v>2801.194</v>
      </c>
    </row>
    <row r="52" spans="1:9" ht="15">
      <c r="A52" s="87" t="s">
        <v>147</v>
      </c>
      <c r="B52" s="88" t="s">
        <v>148</v>
      </c>
      <c r="C52" s="65">
        <v>205</v>
      </c>
      <c r="D52" s="65">
        <v>1305</v>
      </c>
      <c r="E52" s="65">
        <v>438.865</v>
      </c>
      <c r="F52" s="65">
        <f t="shared" si="0"/>
        <v>636.5853658536586</v>
      </c>
      <c r="G52" s="65">
        <f t="shared" si="1"/>
        <v>33.62950191570881</v>
      </c>
      <c r="H52" s="65">
        <f t="shared" si="2"/>
        <v>214.08048780487806</v>
      </c>
      <c r="I52" s="66">
        <f>104102-E40-E41-E42-E43-E45-E46-E47-E48-E49-E51-E52</f>
        <v>42631.258</v>
      </c>
    </row>
    <row r="53" spans="1:9" ht="15">
      <c r="A53" s="59">
        <v>3</v>
      </c>
      <c r="B53" s="68" t="s">
        <v>154</v>
      </c>
      <c r="C53" s="65"/>
      <c r="D53" s="65"/>
      <c r="E53" s="65"/>
      <c r="F53" s="65"/>
      <c r="G53" s="65"/>
      <c r="H53" s="65"/>
      <c r="I53" s="66"/>
    </row>
    <row r="54" spans="1:9" ht="15">
      <c r="A54" s="59">
        <v>4</v>
      </c>
      <c r="B54" s="68" t="s">
        <v>63</v>
      </c>
      <c r="C54" s="65"/>
      <c r="D54" s="65"/>
      <c r="E54" s="65"/>
      <c r="F54" s="65"/>
      <c r="G54" s="65"/>
      <c r="H54" s="65"/>
      <c r="I54" s="66"/>
    </row>
    <row r="55" spans="1:9" ht="15">
      <c r="A55" s="59">
        <v>5</v>
      </c>
      <c r="B55" s="68" t="s">
        <v>64</v>
      </c>
      <c r="C55" s="65">
        <v>2390</v>
      </c>
      <c r="D55" s="65"/>
      <c r="E55" s="65">
        <v>2335</v>
      </c>
      <c r="F55" s="65">
        <f t="shared" si="0"/>
        <v>0</v>
      </c>
      <c r="G55" s="65"/>
      <c r="H55" s="65">
        <f t="shared" si="2"/>
        <v>97.69874476987448</v>
      </c>
      <c r="I55" s="66"/>
    </row>
    <row r="56" spans="1:12" ht="15">
      <c r="A56" s="59">
        <v>6</v>
      </c>
      <c r="B56" s="68" t="s">
        <v>155</v>
      </c>
      <c r="C56" s="65"/>
      <c r="D56" s="65"/>
      <c r="E56" s="65"/>
      <c r="F56" s="65"/>
      <c r="G56" s="65"/>
      <c r="H56" s="65"/>
      <c r="I56" s="66"/>
      <c r="L56" s="55">
        <f>19922.26-300-779</f>
        <v>18843.26</v>
      </c>
    </row>
    <row r="57" spans="1:12" ht="15">
      <c r="A57" s="59" t="s">
        <v>27</v>
      </c>
      <c r="B57" s="68" t="s">
        <v>71</v>
      </c>
      <c r="C57" s="60">
        <f>+C58+C60+C95</f>
        <v>26188</v>
      </c>
      <c r="D57" s="60">
        <f>+D58+D60+D95</f>
        <v>52708.56357</v>
      </c>
      <c r="E57" s="60">
        <f>+E58+E60+E95</f>
        <v>7787</v>
      </c>
      <c r="F57" s="60">
        <f t="shared" si="0"/>
        <v>201.26990824041545</v>
      </c>
      <c r="G57" s="60">
        <f t="shared" si="1"/>
        <v>14.773690407363153</v>
      </c>
      <c r="H57" s="60">
        <f t="shared" si="2"/>
        <v>29.734993126622882</v>
      </c>
      <c r="I57" s="69"/>
      <c r="J57" s="90">
        <f>+E57-'[1]32'!$F$35</f>
        <v>-24612.05</v>
      </c>
      <c r="L57" s="55">
        <f>+L56*0.02</f>
        <v>376.86519999999996</v>
      </c>
    </row>
    <row r="58" spans="1:16" ht="15">
      <c r="A58" s="59">
        <v>1</v>
      </c>
      <c r="B58" s="68" t="s">
        <v>69</v>
      </c>
      <c r="C58" s="65"/>
      <c r="D58" s="65"/>
      <c r="E58" s="60"/>
      <c r="F58" s="60"/>
      <c r="G58" s="60"/>
      <c r="H58" s="60"/>
      <c r="I58" s="69"/>
      <c r="P58" s="63">
        <f>+E58-11039</f>
        <v>-11039</v>
      </c>
    </row>
    <row r="59" spans="1:9" ht="15" hidden="1">
      <c r="A59" s="64"/>
      <c r="B59" s="71"/>
      <c r="C59" s="65"/>
      <c r="D59" s="65"/>
      <c r="E59" s="65"/>
      <c r="F59" s="65" t="e">
        <f t="shared" si="0"/>
        <v>#DIV/0!</v>
      </c>
      <c r="G59" s="65" t="e">
        <f t="shared" si="1"/>
        <v>#DIV/0!</v>
      </c>
      <c r="H59" s="65" t="e">
        <f t="shared" si="2"/>
        <v>#DIV/0!</v>
      </c>
      <c r="I59" s="66"/>
    </row>
    <row r="60" spans="1:16" ht="15">
      <c r="A60" s="59">
        <v>2</v>
      </c>
      <c r="B60" s="68" t="s">
        <v>156</v>
      </c>
      <c r="C60" s="60">
        <f>SUM(C61:C94)</f>
        <v>22150</v>
      </c>
      <c r="D60" s="60">
        <f>SUM(D61:D94)</f>
        <v>48647.56357</v>
      </c>
      <c r="E60" s="60">
        <f>SUM(E61:E94)</f>
        <v>7787</v>
      </c>
      <c r="F60" s="60">
        <f t="shared" si="0"/>
        <v>219.62782650112865</v>
      </c>
      <c r="G60" s="60">
        <f t="shared" si="1"/>
        <v>16.006968136842296</v>
      </c>
      <c r="H60" s="60">
        <f t="shared" si="2"/>
        <v>35.15575620767494</v>
      </c>
      <c r="I60" s="69"/>
      <c r="L60" s="63">
        <f>+E60+E95-'[1]32'!$F$37-'[1]32'!$F$45</f>
        <v>6708</v>
      </c>
      <c r="M60" s="55">
        <f>+L60-'[2]PB chi tiet cap huyenchi tiet 6'!$J$334/1000</f>
        <v>-24612.05</v>
      </c>
      <c r="P60" s="55">
        <f>42.8+P58</f>
        <v>-10996.2</v>
      </c>
    </row>
    <row r="61" spans="1:9" ht="46.5">
      <c r="A61" s="64"/>
      <c r="B61" s="71" t="s">
        <v>172</v>
      </c>
      <c r="C61" s="65">
        <v>1000</v>
      </c>
      <c r="D61" s="65">
        <v>1000</v>
      </c>
      <c r="E61" s="65">
        <v>1000</v>
      </c>
      <c r="F61" s="65">
        <f t="shared" si="0"/>
        <v>100</v>
      </c>
      <c r="G61" s="65">
        <f t="shared" si="1"/>
        <v>100</v>
      </c>
      <c r="H61" s="65">
        <f t="shared" si="2"/>
        <v>100</v>
      </c>
      <c r="I61" s="66"/>
    </row>
    <row r="62" spans="1:9" ht="30.75">
      <c r="A62" s="64"/>
      <c r="B62" s="71" t="s">
        <v>173</v>
      </c>
      <c r="C62" s="65">
        <v>2630</v>
      </c>
      <c r="D62" s="65">
        <v>2630</v>
      </c>
      <c r="E62" s="65">
        <v>2630</v>
      </c>
      <c r="F62" s="65">
        <f t="shared" si="0"/>
        <v>100</v>
      </c>
      <c r="G62" s="65">
        <f t="shared" si="1"/>
        <v>100</v>
      </c>
      <c r="H62" s="65">
        <f t="shared" si="2"/>
        <v>100</v>
      </c>
      <c r="I62" s="66"/>
    </row>
    <row r="63" spans="1:9" ht="30.75">
      <c r="A63" s="64"/>
      <c r="B63" s="71" t="s">
        <v>174</v>
      </c>
      <c r="C63" s="65">
        <v>870</v>
      </c>
      <c r="D63" s="65">
        <v>870</v>
      </c>
      <c r="E63" s="65">
        <v>870</v>
      </c>
      <c r="F63" s="65">
        <f t="shared" si="0"/>
        <v>100.00000000000001</v>
      </c>
      <c r="G63" s="65">
        <f t="shared" si="1"/>
        <v>100.00000000000001</v>
      </c>
      <c r="H63" s="65">
        <f t="shared" si="2"/>
        <v>100.00000000000001</v>
      </c>
      <c r="I63" s="66"/>
    </row>
    <row r="64" spans="1:9" ht="15">
      <c r="A64" s="64"/>
      <c r="B64" s="71" t="s">
        <v>175</v>
      </c>
      <c r="C64" s="65">
        <v>7500</v>
      </c>
      <c r="D64" s="65">
        <v>10403</v>
      </c>
      <c r="E64" s="65">
        <v>2500</v>
      </c>
      <c r="F64" s="65">
        <f t="shared" si="0"/>
        <v>138.70666666666668</v>
      </c>
      <c r="G64" s="65">
        <f t="shared" si="1"/>
        <v>24.031529366528886</v>
      </c>
      <c r="H64" s="65">
        <f t="shared" si="2"/>
        <v>33.333333333333336</v>
      </c>
      <c r="I64" s="66"/>
    </row>
    <row r="65" spans="1:9" ht="30.75">
      <c r="A65" s="64"/>
      <c r="B65" s="71" t="s">
        <v>179</v>
      </c>
      <c r="C65" s="65">
        <v>3349</v>
      </c>
      <c r="D65" s="65">
        <v>3349</v>
      </c>
      <c r="E65" s="65"/>
      <c r="F65" s="65">
        <f t="shared" si="0"/>
        <v>100</v>
      </c>
      <c r="G65" s="65">
        <f t="shared" si="1"/>
        <v>0</v>
      </c>
      <c r="H65" s="65">
        <f t="shared" si="2"/>
        <v>0</v>
      </c>
      <c r="I65" s="66"/>
    </row>
    <row r="66" spans="1:9" ht="15">
      <c r="A66" s="64"/>
      <c r="B66" s="71" t="s">
        <v>181</v>
      </c>
      <c r="C66" s="65">
        <v>1883</v>
      </c>
      <c r="D66" s="65">
        <v>2074</v>
      </c>
      <c r="E66" s="65"/>
      <c r="F66" s="65">
        <f t="shared" si="0"/>
        <v>110.14338821030272</v>
      </c>
      <c r="G66" s="65">
        <f t="shared" si="1"/>
        <v>0</v>
      </c>
      <c r="H66" s="65">
        <f t="shared" si="2"/>
        <v>0</v>
      </c>
      <c r="I66" s="66"/>
    </row>
    <row r="67" spans="1:10" ht="15">
      <c r="A67" s="64"/>
      <c r="B67" s="71" t="s">
        <v>182</v>
      </c>
      <c r="C67" s="65">
        <v>83</v>
      </c>
      <c r="D67" s="65">
        <v>83</v>
      </c>
      <c r="E67" s="65"/>
      <c r="F67" s="65">
        <f t="shared" si="0"/>
        <v>100</v>
      </c>
      <c r="G67" s="65">
        <f t="shared" si="1"/>
        <v>0</v>
      </c>
      <c r="H67" s="65">
        <f t="shared" si="2"/>
        <v>0</v>
      </c>
      <c r="I67" s="66"/>
      <c r="J67" s="55">
        <v>83</v>
      </c>
    </row>
    <row r="68" spans="1:9" ht="15">
      <c r="A68" s="64"/>
      <c r="B68" s="71" t="s">
        <v>185</v>
      </c>
      <c r="C68" s="65">
        <v>50</v>
      </c>
      <c r="D68" s="65">
        <v>50</v>
      </c>
      <c r="E68" s="65"/>
      <c r="F68" s="65">
        <f t="shared" si="0"/>
        <v>100</v>
      </c>
      <c r="G68" s="65">
        <f t="shared" si="1"/>
        <v>0</v>
      </c>
      <c r="H68" s="65">
        <f t="shared" si="2"/>
        <v>0</v>
      </c>
      <c r="I68" s="66"/>
    </row>
    <row r="69" spans="1:9" ht="15">
      <c r="A69" s="64"/>
      <c r="B69" s="71" t="s">
        <v>186</v>
      </c>
      <c r="C69" s="65">
        <v>500</v>
      </c>
      <c r="D69" s="65">
        <v>500</v>
      </c>
      <c r="E69" s="65"/>
      <c r="F69" s="65">
        <f t="shared" si="0"/>
        <v>100</v>
      </c>
      <c r="G69" s="65">
        <f t="shared" si="1"/>
        <v>0</v>
      </c>
      <c r="H69" s="65">
        <f t="shared" si="2"/>
        <v>0</v>
      </c>
      <c r="I69" s="66"/>
    </row>
    <row r="70" spans="1:9" ht="15">
      <c r="A70" s="64"/>
      <c r="B70" s="71" t="s">
        <v>187</v>
      </c>
      <c r="C70" s="65">
        <v>90</v>
      </c>
      <c r="D70" s="65">
        <v>90</v>
      </c>
      <c r="E70" s="65"/>
      <c r="F70" s="65">
        <f t="shared" si="0"/>
        <v>100</v>
      </c>
      <c r="G70" s="65">
        <f t="shared" si="1"/>
        <v>0</v>
      </c>
      <c r="H70" s="65">
        <f t="shared" si="2"/>
        <v>0</v>
      </c>
      <c r="I70" s="66"/>
    </row>
    <row r="71" spans="1:10" ht="15">
      <c r="A71" s="64"/>
      <c r="B71" s="71" t="s">
        <v>188</v>
      </c>
      <c r="C71" s="65">
        <v>81</v>
      </c>
      <c r="D71" s="65">
        <v>81</v>
      </c>
      <c r="E71" s="65"/>
      <c r="F71" s="65">
        <f t="shared" si="0"/>
        <v>100</v>
      </c>
      <c r="G71" s="65">
        <f t="shared" si="1"/>
        <v>0</v>
      </c>
      <c r="H71" s="65">
        <f t="shared" si="2"/>
        <v>0</v>
      </c>
      <c r="I71" s="66"/>
      <c r="J71" s="55">
        <v>42</v>
      </c>
    </row>
    <row r="72" spans="1:9" ht="30.75">
      <c r="A72" s="64"/>
      <c r="B72" s="71" t="s">
        <v>191</v>
      </c>
      <c r="C72" s="65">
        <v>495</v>
      </c>
      <c r="D72" s="65">
        <v>495</v>
      </c>
      <c r="E72" s="65"/>
      <c r="F72" s="65">
        <f t="shared" si="0"/>
        <v>100</v>
      </c>
      <c r="G72" s="65">
        <f t="shared" si="1"/>
        <v>0</v>
      </c>
      <c r="H72" s="65">
        <f t="shared" si="2"/>
        <v>0</v>
      </c>
      <c r="I72" s="66"/>
    </row>
    <row r="73" spans="1:10" ht="30.75">
      <c r="A73" s="64"/>
      <c r="B73" s="71" t="s">
        <v>192</v>
      </c>
      <c r="C73" s="65">
        <v>800</v>
      </c>
      <c r="D73" s="65">
        <v>800</v>
      </c>
      <c r="E73" s="65"/>
      <c r="F73" s="65">
        <f aca="true" t="shared" si="3" ref="F73:F105">+D73/C73%</f>
        <v>100</v>
      </c>
      <c r="G73" s="65">
        <f aca="true" t="shared" si="4" ref="G73:G105">+E73/D73%</f>
        <v>0</v>
      </c>
      <c r="H73" s="65">
        <f aca="true" t="shared" si="5" ref="H73:H105">+E73/C73%</f>
        <v>0</v>
      </c>
      <c r="I73" s="66"/>
      <c r="J73" s="55">
        <v>300</v>
      </c>
    </row>
    <row r="74" spans="1:11" ht="46.5">
      <c r="A74" s="64"/>
      <c r="B74" s="71" t="s">
        <v>220</v>
      </c>
      <c r="C74" s="65">
        <v>1350</v>
      </c>
      <c r="D74" s="65">
        <v>1350</v>
      </c>
      <c r="E74" s="65"/>
      <c r="F74" s="65">
        <f t="shared" si="3"/>
        <v>100</v>
      </c>
      <c r="G74" s="65">
        <f t="shared" si="4"/>
        <v>0</v>
      </c>
      <c r="H74" s="65">
        <f t="shared" si="5"/>
        <v>0</v>
      </c>
      <c r="I74" s="66"/>
      <c r="J74" s="55">
        <v>540</v>
      </c>
      <c r="K74" s="63">
        <f>+E74-J74</f>
        <v>-540</v>
      </c>
    </row>
    <row r="75" spans="1:9" ht="15">
      <c r="A75" s="64"/>
      <c r="B75" s="71" t="s">
        <v>194</v>
      </c>
      <c r="C75" s="65">
        <v>1100</v>
      </c>
      <c r="D75" s="65">
        <v>1700</v>
      </c>
      <c r="E75" s="65"/>
      <c r="F75" s="65">
        <f t="shared" si="3"/>
        <v>154.54545454545453</v>
      </c>
      <c r="G75" s="65">
        <f t="shared" si="4"/>
        <v>0</v>
      </c>
      <c r="H75" s="65">
        <f t="shared" si="5"/>
        <v>0</v>
      </c>
      <c r="I75" s="66"/>
    </row>
    <row r="76" spans="1:9" ht="15">
      <c r="A76" s="64"/>
      <c r="B76" s="71" t="s">
        <v>196</v>
      </c>
      <c r="C76" s="65">
        <v>55</v>
      </c>
      <c r="D76" s="65">
        <v>55</v>
      </c>
      <c r="E76" s="65"/>
      <c r="F76" s="65">
        <f t="shared" si="3"/>
        <v>99.99999999999999</v>
      </c>
      <c r="G76" s="65">
        <f t="shared" si="4"/>
        <v>0</v>
      </c>
      <c r="H76" s="65">
        <f t="shared" si="5"/>
        <v>0</v>
      </c>
      <c r="I76" s="66"/>
    </row>
    <row r="77" spans="1:10" ht="30.75">
      <c r="A77" s="64"/>
      <c r="B77" s="71" t="s">
        <v>197</v>
      </c>
      <c r="C77" s="65">
        <v>22</v>
      </c>
      <c r="D77" s="65">
        <v>22</v>
      </c>
      <c r="E77" s="65"/>
      <c r="F77" s="65">
        <f t="shared" si="3"/>
        <v>100</v>
      </c>
      <c r="G77" s="65">
        <f t="shared" si="4"/>
        <v>0</v>
      </c>
      <c r="H77" s="65">
        <f t="shared" si="5"/>
        <v>0</v>
      </c>
      <c r="I77" s="66"/>
      <c r="J77" s="55">
        <v>22</v>
      </c>
    </row>
    <row r="78" spans="1:9" ht="15">
      <c r="A78" s="64"/>
      <c r="B78" s="98" t="s">
        <v>198</v>
      </c>
      <c r="C78" s="65">
        <v>200</v>
      </c>
      <c r="D78" s="65">
        <v>200</v>
      </c>
      <c r="E78" s="65"/>
      <c r="F78" s="65">
        <f t="shared" si="3"/>
        <v>100</v>
      </c>
      <c r="G78" s="65">
        <f t="shared" si="4"/>
        <v>0</v>
      </c>
      <c r="H78" s="65">
        <f t="shared" si="5"/>
        <v>0</v>
      </c>
      <c r="I78" s="66"/>
    </row>
    <row r="79" spans="1:10" ht="27">
      <c r="A79" s="64"/>
      <c r="B79" s="98" t="s">
        <v>199</v>
      </c>
      <c r="C79" s="65">
        <v>92</v>
      </c>
      <c r="D79" s="65">
        <v>92</v>
      </c>
      <c r="E79" s="65"/>
      <c r="F79" s="65">
        <f t="shared" si="3"/>
        <v>100</v>
      </c>
      <c r="G79" s="65">
        <f t="shared" si="4"/>
        <v>0</v>
      </c>
      <c r="H79" s="65">
        <f t="shared" si="5"/>
        <v>0</v>
      </c>
      <c r="I79" s="66"/>
      <c r="J79" s="55">
        <v>92</v>
      </c>
    </row>
    <row r="80" spans="1:9" ht="15">
      <c r="A80" s="64"/>
      <c r="B80" s="71" t="s">
        <v>202</v>
      </c>
      <c r="C80" s="65"/>
      <c r="D80" s="65">
        <v>1028</v>
      </c>
      <c r="E80" s="65"/>
      <c r="F80" s="65"/>
      <c r="G80" s="65"/>
      <c r="H80" s="65"/>
      <c r="I80" s="66"/>
    </row>
    <row r="81" spans="1:9" ht="15">
      <c r="A81" s="64"/>
      <c r="B81" s="71" t="s">
        <v>204</v>
      </c>
      <c r="C81" s="65"/>
      <c r="D81" s="65">
        <v>240</v>
      </c>
      <c r="E81" s="65"/>
      <c r="F81" s="65"/>
      <c r="G81" s="65"/>
      <c r="H81" s="65"/>
      <c r="I81" s="66"/>
    </row>
    <row r="82" spans="1:9" ht="15">
      <c r="A82" s="64"/>
      <c r="B82" s="71" t="s">
        <v>208</v>
      </c>
      <c r="C82" s="65"/>
      <c r="D82" s="65">
        <v>3911.732</v>
      </c>
      <c r="E82" s="65"/>
      <c r="F82" s="65"/>
      <c r="G82" s="65"/>
      <c r="H82" s="65"/>
      <c r="I82" s="66"/>
    </row>
    <row r="83" spans="1:9" ht="15">
      <c r="A83" s="64"/>
      <c r="B83" s="71" t="s">
        <v>209</v>
      </c>
      <c r="C83" s="65"/>
      <c r="D83" s="65">
        <v>5168.65157</v>
      </c>
      <c r="E83" s="65"/>
      <c r="F83" s="65"/>
      <c r="G83" s="65"/>
      <c r="H83" s="65"/>
      <c r="I83" s="66"/>
    </row>
    <row r="84" spans="1:9" ht="15">
      <c r="A84" s="64"/>
      <c r="B84" s="71" t="s">
        <v>210</v>
      </c>
      <c r="C84" s="65"/>
      <c r="D84" s="65">
        <v>3716.88</v>
      </c>
      <c r="E84" s="65"/>
      <c r="F84" s="65"/>
      <c r="G84" s="65"/>
      <c r="H84" s="65"/>
      <c r="I84" s="66"/>
    </row>
    <row r="85" spans="1:9" ht="15">
      <c r="A85" s="64"/>
      <c r="B85" s="71" t="s">
        <v>211</v>
      </c>
      <c r="C85" s="65"/>
      <c r="D85" s="65">
        <v>312</v>
      </c>
      <c r="E85" s="65"/>
      <c r="F85" s="65"/>
      <c r="G85" s="65"/>
      <c r="H85" s="65"/>
      <c r="I85" s="66"/>
    </row>
    <row r="86" spans="1:9" ht="15">
      <c r="A86" s="64"/>
      <c r="B86" s="71" t="s">
        <v>212</v>
      </c>
      <c r="C86" s="65"/>
      <c r="D86" s="65">
        <v>119.3</v>
      </c>
      <c r="E86" s="65"/>
      <c r="F86" s="65"/>
      <c r="G86" s="65"/>
      <c r="H86" s="65"/>
      <c r="I86" s="66"/>
    </row>
    <row r="87" spans="1:9" ht="15">
      <c r="A87" s="64"/>
      <c r="B87" s="71" t="s">
        <v>213</v>
      </c>
      <c r="C87" s="65"/>
      <c r="D87" s="65">
        <v>496</v>
      </c>
      <c r="E87" s="65"/>
      <c r="F87" s="65"/>
      <c r="G87" s="65"/>
      <c r="H87" s="65"/>
      <c r="I87" s="66"/>
    </row>
    <row r="88" spans="1:9" ht="15">
      <c r="A88" s="64"/>
      <c r="B88" s="71" t="s">
        <v>214</v>
      </c>
      <c r="C88" s="65"/>
      <c r="D88" s="65">
        <v>6</v>
      </c>
      <c r="E88" s="65"/>
      <c r="F88" s="65"/>
      <c r="G88" s="65"/>
      <c r="H88" s="65"/>
      <c r="I88" s="66"/>
    </row>
    <row r="89" spans="1:9" ht="15">
      <c r="A89" s="64"/>
      <c r="B89" s="71" t="s">
        <v>215</v>
      </c>
      <c r="C89" s="65"/>
      <c r="D89" s="65">
        <v>7805</v>
      </c>
      <c r="E89" s="65"/>
      <c r="F89" s="65"/>
      <c r="G89" s="65"/>
      <c r="H89" s="65"/>
      <c r="I89" s="66"/>
    </row>
    <row r="90" spans="1:9" ht="78">
      <c r="A90" s="64"/>
      <c r="B90" s="71" t="s">
        <v>236</v>
      </c>
      <c r="C90" s="65"/>
      <c r="D90" s="65"/>
      <c r="E90" s="65">
        <v>736</v>
      </c>
      <c r="F90" s="65"/>
      <c r="G90" s="65"/>
      <c r="H90" s="65"/>
      <c r="I90" s="66"/>
    </row>
    <row r="91" spans="1:10" ht="30.75">
      <c r="A91" s="64"/>
      <c r="B91" s="71" t="s">
        <v>237</v>
      </c>
      <c r="C91" s="65"/>
      <c r="D91" s="65"/>
      <c r="E91" s="65">
        <v>51</v>
      </c>
      <c r="F91" s="65"/>
      <c r="G91" s="65"/>
      <c r="H91" s="65"/>
      <c r="I91" s="66"/>
      <c r="J91" s="55">
        <f>31087-300-42</f>
        <v>30745</v>
      </c>
    </row>
    <row r="92" spans="1:9" s="80" customFormat="1" ht="30.75" hidden="1">
      <c r="A92" s="91"/>
      <c r="B92" s="92" t="s">
        <v>218</v>
      </c>
      <c r="C92" s="83"/>
      <c r="D92" s="83"/>
      <c r="E92" s="83"/>
      <c r="F92" s="83"/>
      <c r="G92" s="83"/>
      <c r="H92" s="83"/>
      <c r="I92" s="84"/>
    </row>
    <row r="93" spans="1:9" s="80" customFormat="1" ht="15" hidden="1">
      <c r="A93" s="91"/>
      <c r="B93" s="92" t="s">
        <v>219</v>
      </c>
      <c r="C93" s="83"/>
      <c r="D93" s="83"/>
      <c r="E93" s="83"/>
      <c r="F93" s="83"/>
      <c r="G93" s="83"/>
      <c r="H93" s="83"/>
      <c r="I93" s="84"/>
    </row>
    <row r="94" spans="1:9" s="80" customFormat="1" ht="15" hidden="1">
      <c r="A94" s="91"/>
      <c r="B94" s="92"/>
      <c r="C94" s="83"/>
      <c r="D94" s="83"/>
      <c r="E94" s="83"/>
      <c r="F94" s="83"/>
      <c r="G94" s="83"/>
      <c r="H94" s="83"/>
      <c r="I94" s="84"/>
    </row>
    <row r="95" spans="1:9" ht="30.75">
      <c r="A95" s="59">
        <v>3</v>
      </c>
      <c r="B95" s="68" t="s">
        <v>157</v>
      </c>
      <c r="C95" s="60">
        <f>SUM(C96:C105)</f>
        <v>4038</v>
      </c>
      <c r="D95" s="60">
        <f>SUM(D96:D105)</f>
        <v>4061</v>
      </c>
      <c r="E95" s="60">
        <f>SUM(E96:E105)</f>
        <v>0</v>
      </c>
      <c r="F95" s="60">
        <f t="shared" si="3"/>
        <v>100.5695889053987</v>
      </c>
      <c r="G95" s="60">
        <f t="shared" si="4"/>
        <v>0</v>
      </c>
      <c r="H95" s="60">
        <f t="shared" si="5"/>
        <v>0</v>
      </c>
      <c r="I95" s="69"/>
    </row>
    <row r="96" spans="1:9" ht="30.75">
      <c r="A96" s="64"/>
      <c r="B96" s="71" t="s">
        <v>176</v>
      </c>
      <c r="C96" s="65">
        <v>597</v>
      </c>
      <c r="D96" s="65">
        <v>597</v>
      </c>
      <c r="E96" s="65"/>
      <c r="F96" s="65">
        <f t="shared" si="3"/>
        <v>100</v>
      </c>
      <c r="G96" s="65">
        <f t="shared" si="4"/>
        <v>0</v>
      </c>
      <c r="H96" s="65">
        <f t="shared" si="5"/>
        <v>0</v>
      </c>
      <c r="I96" s="66"/>
    </row>
    <row r="97" spans="1:9" ht="15">
      <c r="A97" s="64"/>
      <c r="B97" s="71" t="s">
        <v>177</v>
      </c>
      <c r="C97" s="65">
        <v>1724</v>
      </c>
      <c r="D97" s="65">
        <v>1724</v>
      </c>
      <c r="E97" s="65"/>
      <c r="F97" s="65">
        <f t="shared" si="3"/>
        <v>100.00000000000001</v>
      </c>
      <c r="G97" s="65">
        <f t="shared" si="4"/>
        <v>0</v>
      </c>
      <c r="H97" s="65">
        <f t="shared" si="5"/>
        <v>0</v>
      </c>
      <c r="I97" s="66"/>
    </row>
    <row r="98" spans="1:9" ht="15">
      <c r="A98" s="64"/>
      <c r="B98" s="71" t="s">
        <v>178</v>
      </c>
      <c r="C98" s="65">
        <v>768</v>
      </c>
      <c r="D98" s="65">
        <v>768</v>
      </c>
      <c r="E98" s="65"/>
      <c r="F98" s="65">
        <f t="shared" si="3"/>
        <v>100</v>
      </c>
      <c r="G98" s="65">
        <f t="shared" si="4"/>
        <v>0</v>
      </c>
      <c r="H98" s="65">
        <f t="shared" si="5"/>
        <v>0</v>
      </c>
      <c r="I98" s="66"/>
    </row>
    <row r="99" spans="1:9" ht="15">
      <c r="A99" s="64"/>
      <c r="B99" s="71" t="s">
        <v>180</v>
      </c>
      <c r="C99" s="65">
        <v>31</v>
      </c>
      <c r="D99" s="65">
        <v>31</v>
      </c>
      <c r="E99" s="65"/>
      <c r="F99" s="65">
        <f t="shared" si="3"/>
        <v>100</v>
      </c>
      <c r="G99" s="65">
        <f t="shared" si="4"/>
        <v>0</v>
      </c>
      <c r="H99" s="65">
        <f t="shared" si="5"/>
        <v>0</v>
      </c>
      <c r="I99" s="66"/>
    </row>
    <row r="100" spans="1:9" ht="15">
      <c r="A100" s="64"/>
      <c r="B100" s="71" t="s">
        <v>183</v>
      </c>
      <c r="C100" s="65">
        <v>55</v>
      </c>
      <c r="D100" s="65">
        <f>23+55</f>
        <v>78</v>
      </c>
      <c r="E100" s="65"/>
      <c r="F100" s="65">
        <f t="shared" si="3"/>
        <v>141.8181818181818</v>
      </c>
      <c r="G100" s="65">
        <f t="shared" si="4"/>
        <v>0</v>
      </c>
      <c r="H100" s="65">
        <f t="shared" si="5"/>
        <v>0</v>
      </c>
      <c r="I100" s="66"/>
    </row>
    <row r="101" spans="1:9" ht="15">
      <c r="A101" s="64"/>
      <c r="B101" s="71" t="s">
        <v>184</v>
      </c>
      <c r="C101" s="65">
        <v>670</v>
      </c>
      <c r="D101" s="65">
        <v>670</v>
      </c>
      <c r="E101" s="65"/>
      <c r="F101" s="65">
        <f t="shared" si="3"/>
        <v>100</v>
      </c>
      <c r="G101" s="65">
        <f t="shared" si="4"/>
        <v>0</v>
      </c>
      <c r="H101" s="65">
        <f t="shared" si="5"/>
        <v>0</v>
      </c>
      <c r="I101" s="66"/>
    </row>
    <row r="102" spans="1:9" ht="15">
      <c r="A102" s="64"/>
      <c r="B102" s="71" t="s">
        <v>189</v>
      </c>
      <c r="C102" s="65">
        <v>107</v>
      </c>
      <c r="D102" s="65">
        <v>107</v>
      </c>
      <c r="E102" s="65"/>
      <c r="F102" s="65">
        <f t="shared" si="3"/>
        <v>100</v>
      </c>
      <c r="G102" s="65">
        <f t="shared" si="4"/>
        <v>0</v>
      </c>
      <c r="H102" s="65">
        <f t="shared" si="5"/>
        <v>0</v>
      </c>
      <c r="I102" s="66"/>
    </row>
    <row r="103" spans="1:9" ht="15">
      <c r="A103" s="64"/>
      <c r="B103" s="71" t="s">
        <v>190</v>
      </c>
      <c r="C103" s="65">
        <v>75</v>
      </c>
      <c r="D103" s="65">
        <v>75</v>
      </c>
      <c r="E103" s="65"/>
      <c r="F103" s="65">
        <f t="shared" si="3"/>
        <v>100</v>
      </c>
      <c r="G103" s="65">
        <f t="shared" si="4"/>
        <v>0</v>
      </c>
      <c r="H103" s="65">
        <f t="shared" si="5"/>
        <v>0</v>
      </c>
      <c r="I103" s="66"/>
    </row>
    <row r="104" spans="1:9" ht="15">
      <c r="A104" s="64"/>
      <c r="B104" s="71" t="s">
        <v>193</v>
      </c>
      <c r="C104" s="65">
        <v>6</v>
      </c>
      <c r="D104" s="65">
        <v>6</v>
      </c>
      <c r="E104" s="65"/>
      <c r="F104" s="65">
        <f t="shared" si="3"/>
        <v>100</v>
      </c>
      <c r="G104" s="65">
        <f t="shared" si="4"/>
        <v>0</v>
      </c>
      <c r="H104" s="65">
        <f t="shared" si="5"/>
        <v>0</v>
      </c>
      <c r="I104" s="66"/>
    </row>
    <row r="105" spans="1:9" ht="30.75">
      <c r="A105" s="64"/>
      <c r="B105" s="71" t="s">
        <v>195</v>
      </c>
      <c r="C105" s="65">
        <v>5</v>
      </c>
      <c r="D105" s="65">
        <v>5</v>
      </c>
      <c r="E105" s="65"/>
      <c r="F105" s="65">
        <f t="shared" si="3"/>
        <v>100</v>
      </c>
      <c r="G105" s="65">
        <f t="shared" si="4"/>
        <v>0</v>
      </c>
      <c r="H105" s="65">
        <f t="shared" si="5"/>
        <v>0</v>
      </c>
      <c r="I105" s="66"/>
    </row>
    <row r="106" spans="1:9" s="86" customFormat="1" ht="15">
      <c r="A106" s="59" t="s">
        <v>29</v>
      </c>
      <c r="B106" s="68" t="s">
        <v>207</v>
      </c>
      <c r="C106" s="60"/>
      <c r="D106" s="60">
        <v>4500</v>
      </c>
      <c r="E106" s="60"/>
      <c r="F106" s="60"/>
      <c r="G106" s="60"/>
      <c r="H106" s="60"/>
      <c r="I106" s="69">
        <f>119456-4500</f>
        <v>114956</v>
      </c>
    </row>
    <row r="107" spans="1:9" ht="30.75">
      <c r="A107" s="59" t="s">
        <v>6</v>
      </c>
      <c r="B107" s="68" t="s">
        <v>158</v>
      </c>
      <c r="C107" s="65"/>
      <c r="D107" s="65"/>
      <c r="E107" s="65"/>
      <c r="F107" s="65"/>
      <c r="G107" s="65"/>
      <c r="H107" s="65"/>
      <c r="I107" s="66"/>
    </row>
    <row r="108" spans="1:16" ht="30.75">
      <c r="A108" s="59" t="s">
        <v>43</v>
      </c>
      <c r="B108" s="68" t="s">
        <v>159</v>
      </c>
      <c r="C108" s="65"/>
      <c r="D108" s="65">
        <v>55505.922108</v>
      </c>
      <c r="E108" s="65"/>
      <c r="F108" s="65"/>
      <c r="G108" s="65"/>
      <c r="H108" s="65"/>
      <c r="I108" s="66">
        <f>+D108+D107+D8</f>
        <v>225319.75567800002</v>
      </c>
      <c r="P108" s="63">
        <f>+D108+D107+D8</f>
        <v>225319.75567800002</v>
      </c>
    </row>
    <row r="109" spans="1:16" ht="15">
      <c r="A109" s="93" t="s">
        <v>160</v>
      </c>
      <c r="I109" s="56">
        <f>+'30'!E25-'32'!I108</f>
        <v>0</v>
      </c>
      <c r="P109" s="63">
        <f>217820-P108</f>
        <v>-7499.755678000016</v>
      </c>
    </row>
    <row r="110" spans="1:9" ht="15">
      <c r="A110" s="93"/>
      <c r="I110" s="56">
        <f>225320-I108</f>
        <v>0.24432199998409487</v>
      </c>
    </row>
    <row r="111" spans="1:9" ht="15">
      <c r="A111" s="114"/>
      <c r="C111" s="115"/>
      <c r="D111" s="115"/>
      <c r="E111" s="115"/>
      <c r="F111" s="94"/>
      <c r="G111" s="94"/>
      <c r="H111" s="94"/>
      <c r="I111" s="94"/>
    </row>
    <row r="112" spans="1:9" ht="15">
      <c r="A112" s="114"/>
      <c r="C112" s="116"/>
      <c r="D112" s="116"/>
      <c r="E112" s="116"/>
      <c r="F112" s="95"/>
      <c r="G112" s="95"/>
      <c r="H112" s="95"/>
      <c r="I112" s="95"/>
    </row>
    <row r="113" spans="1:9" ht="15">
      <c r="A113" s="114"/>
      <c r="C113" s="116"/>
      <c r="D113" s="116"/>
      <c r="E113" s="116"/>
      <c r="F113" s="95"/>
      <c r="G113" s="95"/>
      <c r="H113" s="95"/>
      <c r="I113" s="95"/>
    </row>
    <row r="114" spans="1:9" ht="15">
      <c r="A114" s="114"/>
      <c r="C114" s="115"/>
      <c r="D114" s="115"/>
      <c r="E114" s="115"/>
      <c r="F114" s="94"/>
      <c r="G114" s="94"/>
      <c r="H114" s="94"/>
      <c r="I114" s="94"/>
    </row>
  </sheetData>
  <sheetProtection/>
  <mergeCells count="9">
    <mergeCell ref="D1:H1"/>
    <mergeCell ref="D5:H5"/>
    <mergeCell ref="A111:A114"/>
    <mergeCell ref="C111:E111"/>
    <mergeCell ref="C112:E112"/>
    <mergeCell ref="C113:E113"/>
    <mergeCell ref="C114:E114"/>
    <mergeCell ref="A3:H3"/>
    <mergeCell ref="A4:H4"/>
  </mergeCells>
  <hyperlinks>
    <hyperlink ref="D1:E1" location="'PL tong hop'!A1" display="Mẫu biểu số 32/TT342"/>
  </hyperlinks>
  <printOptions/>
  <pageMargins left="0.7086614173228347" right="0.1968503937007874" top="0.7480314960629921" bottom="0.7480314960629921"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hoangphamgl1@gmail.com</cp:lastModifiedBy>
  <cp:lastPrinted>2021-11-30T07:09:35Z</cp:lastPrinted>
  <dcterms:created xsi:type="dcterms:W3CDTF">2017-05-03T08:35:13Z</dcterms:created>
  <dcterms:modified xsi:type="dcterms:W3CDTF">2021-11-30T07:09:37Z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