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755" tabRatio="881" activeTab="1"/>
  </bookViews>
  <sheets>
    <sheet name="B04" sheetId="1" r:id="rId1"/>
    <sheet name="B 05" sheetId="2" r:id="rId2"/>
    <sheet name="B06" sheetId="3" r:id="rId3"/>
    <sheet name="07" sheetId="4" r:id="rId4"/>
  </sheets>
  <externalReferences>
    <externalReference r:id="rId7"/>
    <externalReference r:id="rId8"/>
  </externalReferences>
  <definedNames>
    <definedName name="_xlnm.Print_Area" localSheetId="1">'B 05'!$A$2:$S$182</definedName>
    <definedName name="_xlnm.Print_Area" localSheetId="0">'B04'!$A$2:$S$184</definedName>
    <definedName name="_xlnm.Print_Titles" localSheetId="1">'B 05'!$5:$5</definedName>
    <definedName name="_xlnm.Print_Titles" localSheetId="0">'B04'!$5:$5</definedName>
  </definedNames>
  <calcPr fullCalcOnLoad="1"/>
</workbook>
</file>

<file path=xl/sharedStrings.xml><?xml version="1.0" encoding="utf-8"?>
<sst xmlns="http://schemas.openxmlformats.org/spreadsheetml/2006/main" count="1160" uniqueCount="274">
  <si>
    <t>ha</t>
  </si>
  <si>
    <t>I</t>
  </si>
  <si>
    <t xml:space="preserve"> DT cây lương thực</t>
  </si>
  <si>
    <t>-</t>
  </si>
  <si>
    <t>Năng suất</t>
  </si>
  <si>
    <t>II</t>
  </si>
  <si>
    <t>III</t>
  </si>
  <si>
    <t>DT cây CN ngắn ngày</t>
  </si>
  <si>
    <t>IV</t>
  </si>
  <si>
    <t>Cây Công nghiệp</t>
  </si>
  <si>
    <t>a</t>
  </si>
  <si>
    <t>b</t>
  </si>
  <si>
    <t>c</t>
  </si>
  <si>
    <t>1.1</t>
  </si>
  <si>
    <t>1.2</t>
  </si>
  <si>
    <t>2.1</t>
  </si>
  <si>
    <t>2.2</t>
  </si>
  <si>
    <t>Cây có củ, có bột</t>
  </si>
  <si>
    <t>Chăn nuôi</t>
  </si>
  <si>
    <t>Tổng đàn gia súc</t>
  </si>
  <si>
    <t>Tổng đàn gia cầm</t>
  </si>
  <si>
    <t>Đàn trâu</t>
  </si>
  <si>
    <t>Đàn bò</t>
  </si>
  <si>
    <t>Đàn lợn</t>
  </si>
  <si>
    <t>Thủy sản</t>
  </si>
  <si>
    <t>d</t>
  </si>
  <si>
    <t>e</t>
  </si>
  <si>
    <t>Con</t>
  </si>
  <si>
    <t>lồng</t>
  </si>
  <si>
    <t>Tổng sản lượng thủy sản</t>
  </si>
  <si>
    <t>tấn</t>
  </si>
  <si>
    <t>Sản lượng khai thác tự nhiên</t>
  </si>
  <si>
    <t>Sản lượng nuôi trồng</t>
  </si>
  <si>
    <t>DT nuôi ao, hồ nhỏ</t>
  </si>
  <si>
    <t>DT cà phê</t>
  </si>
  <si>
    <t>DT cao su</t>
  </si>
  <si>
    <t>Cây điều</t>
  </si>
  <si>
    <t>f</t>
  </si>
  <si>
    <t>Lâm nghiệp</t>
  </si>
  <si>
    <t>Ha</t>
  </si>
  <si>
    <t>Cây rau</t>
  </si>
  <si>
    <t>Cây lạc</t>
  </si>
  <si>
    <t xml:space="preserve">Năng suất </t>
  </si>
  <si>
    <t>Cây tiêu</t>
  </si>
  <si>
    <t>Cây lâu năm</t>
  </si>
  <si>
    <t>Cây hàng năm</t>
  </si>
  <si>
    <t>Bời lời</t>
  </si>
  <si>
    <t>Mắc ca</t>
  </si>
  <si>
    <t>Cây bí</t>
  </si>
  <si>
    <t xml:space="preserve">DT sắn </t>
  </si>
  <si>
    <t>Đvt</t>
  </si>
  <si>
    <t>1.3</t>
  </si>
  <si>
    <t>1.4</t>
  </si>
  <si>
    <t>Cây ngô</t>
  </si>
  <si>
    <t>Cây dược liệu</t>
  </si>
  <si>
    <t>tạ/ha</t>
  </si>
  <si>
    <t>Năng suất (tươi)</t>
  </si>
  <si>
    <t>Sản lượng</t>
  </si>
  <si>
    <t>Lúa nước vụ mùa</t>
  </si>
  <si>
    <t>Cây lúa</t>
  </si>
  <si>
    <t>+</t>
  </si>
  <si>
    <t xml:space="preserve">Sản lượng </t>
  </si>
  <si>
    <t>(tấn)</t>
  </si>
  <si>
    <t>DT kinh doanh</t>
  </si>
  <si>
    <t xml:space="preserve">Cây ăn quả </t>
  </si>
  <si>
    <t>Chỉ tiêu</t>
  </si>
  <si>
    <t>Cây thực phẩm</t>
  </si>
  <si>
    <t>Sản luợng</t>
  </si>
  <si>
    <t>tạ/lồng</t>
  </si>
  <si>
    <t>Số lượng lồng nuôi (30m3/lồng)</t>
  </si>
  <si>
    <t>DT cây có củ, có bột (trừ sắn)</t>
  </si>
  <si>
    <t>Tt</t>
  </si>
  <si>
    <t xml:space="preserve">Lúa rẫy </t>
  </si>
  <si>
    <t>Lúa nước vụ ĐX</t>
  </si>
  <si>
    <t>Năng suất tươi</t>
  </si>
  <si>
    <t>Năng suất khô</t>
  </si>
  <si>
    <t>tỷ</t>
  </si>
  <si>
    <t>Tỷ</t>
  </si>
  <si>
    <t>tân</t>
  </si>
  <si>
    <t>Gía trị sản phẩm</t>
  </si>
  <si>
    <t>DT trồng mới</t>
  </si>
  <si>
    <t>Chi phí trồng mới</t>
  </si>
  <si>
    <t>DT KTCB</t>
  </si>
  <si>
    <t>Chi phí KTCB</t>
  </si>
  <si>
    <t>Gía trị sản xuất</t>
  </si>
  <si>
    <t>GTSX</t>
  </si>
  <si>
    <t>Tấn</t>
  </si>
  <si>
    <t>GTSP</t>
  </si>
  <si>
    <t>Sản lượng xuất chuồng</t>
  </si>
  <si>
    <t>Giá trị sản xuất chăn nuôi</t>
  </si>
  <si>
    <t>Giá trị sản xuất gia súc</t>
  </si>
  <si>
    <t>GTSX gia cầm</t>
  </si>
  <si>
    <t>Giá trị SX thủy sản</t>
  </si>
  <si>
    <t>Giá trị trồng mới</t>
  </si>
  <si>
    <t>Diện tích trồng mới</t>
  </si>
  <si>
    <t>Giá trị KTCB</t>
  </si>
  <si>
    <t>Giá trị sản phẩm</t>
  </si>
  <si>
    <t>Giá trị chăm sóc cơ bản</t>
  </si>
  <si>
    <t>GT trồng mới</t>
  </si>
  <si>
    <t>GTSX cây hàng năm</t>
  </si>
  <si>
    <t>GTSX cây lâu năm</t>
  </si>
  <si>
    <t>Cây đậu đỗ các loại</t>
  </si>
  <si>
    <t>Năm 2022</t>
  </si>
  <si>
    <t>Năm 2023</t>
  </si>
  <si>
    <t>Năm 2024</t>
  </si>
  <si>
    <t>Năng suất vỏ khô</t>
  </si>
  <si>
    <t>Tổng DT gieo trồng</t>
  </si>
  <si>
    <t>Diện tích (không tính cây cao su)</t>
  </si>
  <si>
    <t>Đàn dê, hươu</t>
  </si>
  <si>
    <t>GTSX lúa</t>
  </si>
  <si>
    <t>GTSX trồng trọt</t>
  </si>
  <si>
    <t>GTSP cây lương thực</t>
  </si>
  <si>
    <t>GTSX nuôi trồng</t>
  </si>
  <si>
    <t>GTSX khai thác</t>
  </si>
  <si>
    <t>GT sản phẩm</t>
  </si>
  <si>
    <t>DV MTR/khoán bảo vệ rừng</t>
  </si>
  <si>
    <t>GT chăm sóc</t>
  </si>
  <si>
    <t>Sản lượng quy khô</t>
  </si>
  <si>
    <t>Chi phí trung gian NLTS</t>
  </si>
  <si>
    <t>CPTG trồng trọt</t>
  </si>
  <si>
    <t>CPTG cây hàng năm</t>
  </si>
  <si>
    <t>CPTG cây lâu năm</t>
  </si>
  <si>
    <t>CPTG</t>
  </si>
  <si>
    <t>Giai đoạn 2016-2020</t>
  </si>
  <si>
    <t>Giai đoạn 2021-2025</t>
  </si>
  <si>
    <t>SL cây lương thực có hạt</t>
  </si>
  <si>
    <t>UTH 2020</t>
  </si>
  <si>
    <t>KH Năm 2021</t>
  </si>
  <si>
    <t>Cây CN ngắn ngày khác</t>
  </si>
  <si>
    <t>KH2020</t>
  </si>
  <si>
    <t>Thực hiện năm 2019</t>
  </si>
  <si>
    <t>Năm 2020</t>
  </si>
  <si>
    <t>06 tháng đầu năm</t>
  </si>
  <si>
    <t>KH 2021 so với UTH 2020</t>
  </si>
  <si>
    <t>UTH so với 2019
(%)</t>
  </si>
  <si>
    <t>UTH so với KH
(%)</t>
  </si>
  <si>
    <t>Thực hiện năm 2015</t>
  </si>
  <si>
    <t>Thực hiện năm 2016</t>
  </si>
  <si>
    <t>Thực hiện năm 2017</t>
  </si>
  <si>
    <t>Thực hiện năm 2018</t>
  </si>
  <si>
    <t>Kế hoạch 
Năm 2022</t>
  </si>
  <si>
    <t>Kế hoạch 
Năm 2023</t>
  </si>
  <si>
    <t>Kế hoạch 
Năm 2024</t>
  </si>
  <si>
    <t>Kế hoạch 
Năm 2025</t>
  </si>
  <si>
    <t>Giá trị sản xuất NLTS (giá hiện hành)</t>
  </si>
  <si>
    <t>TT</t>
  </si>
  <si>
    <t>Đơn vị</t>
  </si>
  <si>
    <t>Thực hiện  2019</t>
  </si>
  <si>
    <t>Năm 2021</t>
  </si>
  <si>
    <t>Kế hoạch</t>
  </si>
  <si>
    <t>Thực hiện 6 tháng</t>
  </si>
  <si>
    <t>Ước Thực hiện cả năm</t>
  </si>
  <si>
    <t>Ước thực hiện cả năm so với thực hiện 2019 (%)</t>
  </si>
  <si>
    <t>Kế hoạch 2021</t>
  </si>
  <si>
    <t>Kế hoạch 2021 so với ước kế hoạch  2020 (%)</t>
  </si>
  <si>
    <t>Kế hoạch 2021 so với ước thực hiện 2020 (%)</t>
  </si>
  <si>
    <t>8=7/4</t>
  </si>
  <si>
    <t>10=9/5</t>
  </si>
  <si>
    <t>11=9/7</t>
  </si>
  <si>
    <t xml:space="preserve">Tăng trưởng GRDP (giá so sánh) </t>
  </si>
  <si>
    <t>%</t>
  </si>
  <si>
    <t>Nông, lâm nghiệp, thuỷ sản</t>
  </si>
  <si>
    <t>Công nghiệp và xây dựng</t>
  </si>
  <si>
    <t>Dịch vụ</t>
  </si>
  <si>
    <t>Thuế, trợ cấp sản phẩm</t>
  </si>
  <si>
    <t>Tổng sản phẩm trên địa bàn (GRDP) theo giá hiện hành</t>
  </si>
  <si>
    <t>Tỷ đồng</t>
  </si>
  <si>
    <r>
      <t xml:space="preserve">Cơ cấu GRDP </t>
    </r>
    <r>
      <rPr>
        <i/>
        <sz val="12"/>
        <color indexed="8"/>
        <rFont val="Times New Roman"/>
        <family val="1"/>
      </rPr>
      <t>(giá hiện hành)</t>
    </r>
  </si>
  <si>
    <t>GRDP bình quân đầu người</t>
  </si>
  <si>
    <t>Triệu đồng/người</t>
  </si>
  <si>
    <t>Tổng vốn đầu tư phát triển trên địa bàn</t>
  </si>
  <si>
    <t>Tổng kim ngạch xuất khẩu trên địa bàn</t>
  </si>
  <si>
    <t>Triệu USD</t>
  </si>
  <si>
    <t>Tổng kim ngạch nhập khẩu trên địa bàn</t>
  </si>
  <si>
    <t>Tổng mức bán lẻ hàng hóa và dịch vụ (giá HH)</t>
  </si>
  <si>
    <t>Thu ngân sách địa phương</t>
  </si>
  <si>
    <t>Tổng thu ngân sách nhà nước trên địa bàn</t>
  </si>
  <si>
    <t>Trong đó thu nội địa</t>
  </si>
  <si>
    <t>Trong đó:</t>
  </si>
  <si>
    <t>Thu từ tiền sử dụng đất</t>
  </si>
  <si>
    <t>Thu từ xổ sổ kiến thiết</t>
  </si>
  <si>
    <t>Tỷ dồng</t>
  </si>
  <si>
    <t>Thu ngân sách địa phương hưởng theo phân cấp</t>
  </si>
  <si>
    <t>Thu ngân sách đại phương hưởng 100%</t>
  </si>
  <si>
    <t>Thu ngân sách địa phương hương từ các khoản theo phân chia</t>
  </si>
  <si>
    <t>Chi ngân sách địa phương</t>
  </si>
  <si>
    <t>Tổng chi cân đối ngân sách địa phương</t>
  </si>
  <si>
    <t>Chi đầu tư</t>
  </si>
  <si>
    <t>Chi thường xuyên (bao gồm chi cải cách tiền lương, tinh giản biên chế)</t>
  </si>
  <si>
    <t>Bội thu/Bội chi ngân sách địa phương</t>
  </si>
  <si>
    <t>Thứ hạng chỉ số năng lực cạnh tranh cấp tỉnh (PCI)</t>
  </si>
  <si>
    <t>Thứ hạng chỉ số hiệu quả quản trị và hành chính công cấp tỉnh (PAPI)</t>
  </si>
  <si>
    <t>Số doanh nghiệp đang hoạt động và kê khai thuế đến cuối kỳ báo cáo</t>
  </si>
  <si>
    <t>Doanh nghiệp</t>
  </si>
  <si>
    <t>Về đầu tư trực tiếp nước ngoài</t>
  </si>
  <si>
    <t>Số dự án còn hiệu lực lũy kế đến cuối kỳ báo cáo</t>
  </si>
  <si>
    <t>Dự án</t>
  </si>
  <si>
    <t>Vốn đầu tư thực hiện</t>
  </si>
  <si>
    <t>Vốn đăng ký</t>
  </si>
  <si>
    <t>Giá trị sản xuất công nghiệp và TTCN (giá SS năm 2010)</t>
  </si>
  <si>
    <t>Tổng sản lượng lương thực có hạt</t>
  </si>
  <si>
    <t>Bình quân sản lượng lương thực có hạt/người/năm</t>
  </si>
  <si>
    <t>Kg</t>
  </si>
  <si>
    <t>Dân số</t>
  </si>
  <si>
    <t>Nghìn người</t>
  </si>
  <si>
    <t>Mật độ dân số</t>
  </si>
  <si>
    <r>
      <t>Người/Km</t>
    </r>
    <r>
      <rPr>
        <vertAlign val="superscript"/>
        <sz val="9.5"/>
        <color indexed="8"/>
        <rFont val="Times New Roman"/>
        <family val="1"/>
      </rPr>
      <t>2</t>
    </r>
  </si>
  <si>
    <t>Lực lượng lao động từ 15 tuổi trở lên</t>
  </si>
  <si>
    <t>Tỷ lệ lao động từ 15 tuổi trở lên đang làm việc so với tổng dân số</t>
  </si>
  <si>
    <t>Tỷ lệ lao động qua đào tạo</t>
  </si>
  <si>
    <t>Tỷ lệ xã đạt tiêu chí quốc gia về y tế xã (giai đoạn 2011-2020)</t>
  </si>
  <si>
    <t>Số giường bệnh/10.000 dân (không tính giường trạm y tế xã)</t>
  </si>
  <si>
    <t>Giường</t>
  </si>
  <si>
    <t>Tỷ lệ bao phủ bảo hiểm y tế</t>
  </si>
  <si>
    <t>Tỷ lệ trẻ em dưới 5 tuổi suy dinh dưỡng thể nhẹ cân</t>
  </si>
  <si>
    <t>Tỷ lệ xã, phường, thị trấn có trung tâm văn hóa, thể thao</t>
  </si>
  <si>
    <t>Tý lệ rác thải sinh hoạt (ở đô thị và nông thôn) được thu gom và xử lý</t>
  </si>
  <si>
    <t>Tỷ lệ dân cư nông thôn sử dụng nước hợp vệ sinh</t>
  </si>
  <si>
    <t>Tỷ lệ độ che phủ rừng (có tính cây sao su)</t>
  </si>
  <si>
    <t>Tỷ lệ cơ sở sản xuất mới xây dựng sử dụng công nghệ sạch hoặc có thiết bị xử lý ô nhiễm môi trường</t>
  </si>
  <si>
    <t>Số xã đạt chuẩn nông thôn mới</t>
  </si>
  <si>
    <t>xã</t>
  </si>
  <si>
    <t>Tỷ lệ số xã đạt chuẩn nông thôn mới</t>
  </si>
  <si>
    <t>Tỷ lệ số huyện đạt chuẩn/hoàn thành nhiệm vụ xây dựng nông thôn mới</t>
  </si>
  <si>
    <t>Hộ nghèo theo chuẩn nghèo đa chiều</t>
  </si>
  <si>
    <t>Tỷ lệ hộ nghèo theo chuẩn nghèo đa chiều</t>
  </si>
  <si>
    <t>Mức giảm tỷ lệ hộ nghèo theo chuẩn nghèo đa chiều</t>
  </si>
  <si>
    <t>Điểm %</t>
  </si>
  <si>
    <t>Biểu số 04</t>
  </si>
  <si>
    <r>
      <t xml:space="preserve">CÁC CHỈ TIÊU VỀ TÌNH HÌNH SẢN XUẤT NÔNG NGHIỆP, NÔNG THÔN
</t>
    </r>
    <r>
      <rPr>
        <i/>
        <sz val="13"/>
        <color indexed="8"/>
        <rFont val="Times New Roman"/>
        <family val="1"/>
      </rPr>
      <t>(Kèm theo Công văn số      /PNNPTNT ngày    tháng      năm 2020 của Phòng Nông nghiệp và Phát triển nông thôn)</t>
    </r>
  </si>
  <si>
    <t>10=9/8</t>
  </si>
  <si>
    <t>NÔNG, LÂM NGHIỆP VÀ THUỶ SẢN</t>
  </si>
  <si>
    <t>Năng suất, sản lượng một số cây trồng chủ yếu trên địa bàn</t>
  </si>
  <si>
    <t>a)</t>
  </si>
  <si>
    <t>Sản xuất cây lương thực có hạt</t>
  </si>
  <si>
    <t>Sản xuất lúa</t>
  </si>
  <si>
    <t>+ Năng suất</t>
  </si>
  <si>
    <t>Tạ/ha</t>
  </si>
  <si>
    <t>+ Sản lượng</t>
  </si>
  <si>
    <t>Triệu tấn</t>
  </si>
  <si>
    <t>Sản xuất ngô</t>
  </si>
  <si>
    <t>b)</t>
  </si>
  <si>
    <t>Sản xuất cây hoa màu, cây ăn quả, dược liệu</t>
  </si>
  <si>
    <t>Diện tích</t>
  </si>
  <si>
    <t>Sản lương</t>
  </si>
  <si>
    <t>c)</t>
  </si>
  <si>
    <t>Sản xuất một số cây công nghiệp/cây lâu năm</t>
  </si>
  <si>
    <t>Sản lương tươi</t>
  </si>
  <si>
    <t>Chăn nuôi và sản phẩm chăn nuôi chủ yếu</t>
  </si>
  <si>
    <t>Tổng đàn</t>
  </si>
  <si>
    <t>Đàn gia cầm,</t>
  </si>
  <si>
    <t>Thịt hơi các loại</t>
  </si>
  <si>
    <t>Nghìn tấn</t>
  </si>
  <si>
    <t xml:space="preserve"> Trong đó: Thịt lợn</t>
  </si>
  <si>
    <t>Diện tích rừng trồng mới tập trung</t>
  </si>
  <si>
    <t>Nghìn ha</t>
  </si>
  <si>
    <t>Tỷ lệ che phủ rừng</t>
  </si>
  <si>
    <t>Sản lượng khai thác</t>
  </si>
  <si>
    <t>Phát triển nông thôn</t>
  </si>
  <si>
    <t>Tỷ lệ dân số nông thôn được sử dụng nước hợp vệ sinh</t>
  </si>
  <si>
    <t>Số tiêu chí nông thôn mới bình quân đạt được bình quân/xã</t>
  </si>
  <si>
    <t>Tiêu chí</t>
  </si>
  <si>
    <r>
      <t xml:space="preserve">Giá trị sản xuất NLTS </t>
    </r>
    <r>
      <rPr>
        <sz val="10"/>
        <rFont val="Times New Roman"/>
        <family val="1"/>
      </rPr>
      <t>(giá so sánh)</t>
    </r>
  </si>
  <si>
    <t>Giá trị SXNLTS tăng thêm</t>
  </si>
  <si>
    <r>
      <t>Tăng trưởng GRDP</t>
    </r>
    <r>
      <rPr>
        <sz val="10"/>
        <rFont val="Times New Roman"/>
        <family val="1"/>
      </rPr>
      <t xml:space="preserve"> (giá so sánh) </t>
    </r>
  </si>
  <si>
    <t xml:space="preserve">TỔNG HỢP ƯỚC THỰC HIỆN KẾ HOẠCH SẢN XUẤT NÔNG NGHIỆP NĂM 2020, KẾ HOẠCH 2021 </t>
  </si>
  <si>
    <t>(Kèm theo Báo cáo    /BC-UBND ngày     /10/2020 của Ủy ban nhan dân huyện Ia H'Drai)</t>
  </si>
  <si>
    <t>(Kèm theo Báo cáo    /BC-UBND ngày     /11/2020 của Ủy ban nhân dân huyện Ia H'Drai)</t>
  </si>
  <si>
    <t>Biểu số 05</t>
  </si>
  <si>
    <t>Biểu số 06</t>
  </si>
  <si>
    <t>Biểu số 07</t>
  </si>
  <si>
    <t>CÁC CHỈ TIÊU TỔNG HỢP NGÀNH NÔNG NGHIỆP, NÔNG THÔN</t>
  </si>
  <si>
    <t xml:space="preserve"> KẾT QUẢ SẢN XUẤT NÔNG NGHIỆP, ƯỚC THỰC HIỆN NĂM 2020, KẾ HOẠCH 2021
 TÍNH THEO GIÁ HIỆN HÀNH</t>
  </si>
  <si>
    <t>9 tháng đầu năm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</si>
</sst>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#,##0.000"/>
    <numFmt numFmtId="200" formatCode="&quot;$&quot;#,##0.00"/>
    <numFmt numFmtId="201" formatCode="0.0%"/>
    <numFmt numFmtId="202" formatCode="#,##0.0000"/>
    <numFmt numFmtId="203" formatCode="[$-42A]h:mm:ss\ AM/PM"/>
    <numFmt numFmtId="204" formatCode="[$-42A]dd\ mmmm\ yyyy"/>
  </numFmts>
  <fonts count="7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9.5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97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97" fontId="1" fillId="0" borderId="10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97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8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right" vertical="center" wrapText="1"/>
    </xf>
    <xf numFmtId="197" fontId="4" fillId="0" borderId="10" xfId="0" applyNumberFormat="1" applyFont="1" applyFill="1" applyBorder="1" applyAlignment="1">
      <alignment horizontal="right" vertical="center" wrapText="1"/>
    </xf>
    <xf numFmtId="198" fontId="4" fillId="0" borderId="10" xfId="0" applyNumberFormat="1" applyFont="1" applyFill="1" applyBorder="1" applyAlignment="1">
      <alignment vertical="center"/>
    </xf>
    <xf numFmtId="198" fontId="1" fillId="0" borderId="10" xfId="0" applyNumberFormat="1" applyFont="1" applyFill="1" applyBorder="1" applyAlignment="1">
      <alignment horizontal="right" vertical="center"/>
    </xf>
    <xf numFmtId="197" fontId="5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98" fontId="55" fillId="0" borderId="0" xfId="0" applyNumberFormat="1" applyFont="1" applyFill="1" applyAlignment="1">
      <alignment/>
    </xf>
    <xf numFmtId="197" fontId="1" fillId="0" borderId="10" xfId="0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198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97" fontId="1" fillId="0" borderId="0" xfId="0" applyNumberFormat="1" applyFont="1" applyFill="1" applyAlignment="1">
      <alignment horizontal="center"/>
    </xf>
    <xf numFmtId="1" fontId="56" fillId="0" borderId="11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2" fontId="58" fillId="0" borderId="10" xfId="0" applyNumberFormat="1" applyFont="1" applyBorder="1" applyAlignment="1">
      <alignment horizontal="right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2" fontId="60" fillId="0" borderId="10" xfId="0" applyNumberFormat="1" applyFont="1" applyBorder="1" applyAlignment="1">
      <alignment horizontal="right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justify" vertical="center"/>
    </xf>
    <xf numFmtId="2" fontId="5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57" fillId="0" borderId="10" xfId="0" applyNumberFormat="1" applyFont="1" applyBorder="1" applyAlignment="1">
      <alignment horizontal="center" vertical="center"/>
    </xf>
    <xf numFmtId="195" fontId="57" fillId="0" borderId="10" xfId="0" applyNumberFormat="1" applyFont="1" applyBorder="1" applyAlignment="1">
      <alignment horizontal="center" vertical="center"/>
    </xf>
    <xf numFmtId="195" fontId="58" fillId="0" borderId="10" xfId="0" applyNumberFormat="1" applyFont="1" applyBorder="1" applyAlignment="1">
      <alignment horizontal="center" vertical="center"/>
    </xf>
    <xf numFmtId="193" fontId="58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/>
    </xf>
    <xf numFmtId="0" fontId="59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" fontId="58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1" fontId="65" fillId="0" borderId="13" xfId="0" applyNumberFormat="1" applyFont="1" applyBorder="1" applyAlignment="1">
      <alignment horizontal="center" vertical="center" wrapText="1"/>
    </xf>
    <xf numFmtId="2" fontId="65" fillId="0" borderId="13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/>
    </xf>
    <xf numFmtId="1" fontId="56" fillId="0" borderId="13" xfId="0" applyNumberFormat="1" applyFont="1" applyFill="1" applyBorder="1" applyAlignment="1">
      <alignment horizontal="center" vertical="center" wrapText="1"/>
    </xf>
    <xf numFmtId="1" fontId="56" fillId="0" borderId="14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2" fontId="65" fillId="0" borderId="12" xfId="0" applyNumberFormat="1" applyFont="1" applyBorder="1" applyAlignment="1">
      <alignment horizontal="center" vertical="center" wrapText="1"/>
    </xf>
    <xf numFmtId="2" fontId="65" fillId="0" borderId="15" xfId="0" applyNumberFormat="1" applyFont="1" applyBorder="1" applyAlignment="1">
      <alignment horizontal="center" vertical="center" wrapText="1"/>
    </xf>
    <xf numFmtId="2" fontId="65" fillId="0" borderId="11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right" vertical="center"/>
    </xf>
    <xf numFmtId="0" fontId="68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197" fontId="1" fillId="0" borderId="0" xfId="0" applyNumberFormat="1" applyFont="1" applyFill="1" applyAlignment="1">
      <alignment/>
    </xf>
    <xf numFmtId="198" fontId="5" fillId="0" borderId="10" xfId="0" applyNumberFormat="1" applyFont="1" applyFill="1" applyBorder="1" applyAlignment="1" quotePrefix="1">
      <alignment horizontal="center" vertical="center"/>
    </xf>
    <xf numFmtId="198" fontId="5" fillId="0" borderId="10" xfId="0" applyNumberFormat="1" applyFont="1" applyFill="1" applyBorder="1" applyAlignment="1">
      <alignment horizontal="center" vertical="center"/>
    </xf>
    <xf numFmtId="19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198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 horizontal="center"/>
    </xf>
    <xf numFmtId="1" fontId="55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left" vertical="center"/>
      <protection/>
    </xf>
    <xf numFmtId="0" fontId="56" fillId="0" borderId="14" xfId="0" applyFont="1" applyFill="1" applyBorder="1" applyAlignment="1">
      <alignment horizontal="center" vertical="center" wrapText="1"/>
    </xf>
    <xf numFmtId="2" fontId="56" fillId="0" borderId="14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3" fontId="56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right" vertical="center" wrapText="1"/>
    </xf>
    <xf numFmtId="197" fontId="1" fillId="0" borderId="0" xfId="0" applyNumberFormat="1" applyFont="1" applyFill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UY&#202;N%20IA%20HDRAI\K&#202;%20HO&#7840;CH%20H&#192;NG%20N&#258;M\KH%202021\KH%20C&#193;C%20&#272;&#416;N%20V&#7882;%202021\Bi&#7875;u%2001.%20C&#225;c%20ch&#7881;%20ti&#234;u%20theo%20gi&#225;%20so%20s&#225;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UY&#202;N%20IA%20HDRAI\K&#202;%20HO&#7840;CH%20H&#192;NG%20N&#258;M\KH%202021\KH%20C&#193;C%20&#272;&#416;N%20V&#7882;%202021\T&#237;nh%20t&#259;ng%20tr&#432;&#7903;ng%20theo%20gi&#225;%20so%20s&#225;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Sheet1"/>
    </sheetNames>
    <sheetDataSet>
      <sheetData sheetId="0">
        <row r="15">
          <cell r="N15">
            <v>355.3</v>
          </cell>
        </row>
        <row r="167">
          <cell r="N167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Sheet1"/>
    </sheetNames>
    <sheetDataSet>
      <sheetData sheetId="0">
        <row r="29">
          <cell r="H29">
            <v>61.2</v>
          </cell>
          <cell r="I29">
            <v>70.3</v>
          </cell>
          <cell r="J29">
            <v>7</v>
          </cell>
          <cell r="K29">
            <v>30</v>
          </cell>
          <cell r="M29">
            <v>35</v>
          </cell>
        </row>
        <row r="167">
          <cell r="H167">
            <v>33842</v>
          </cell>
          <cell r="I167">
            <v>35000</v>
          </cell>
          <cell r="J167">
            <v>33158</v>
          </cell>
          <cell r="K167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4"/>
  <sheetViews>
    <sheetView zoomScale="145" zoomScaleNormal="145" zoomScalePageLayoutView="0" workbookViewId="0" topLeftCell="A1">
      <pane ySplit="5" topLeftCell="A52" activePane="bottomLeft" state="frozen"/>
      <selection pane="topLeft" activeCell="A1" sqref="A1"/>
      <selection pane="bottomLeft" activeCell="X55" sqref="X55"/>
    </sheetView>
  </sheetViews>
  <sheetFormatPr defaultColWidth="8.8515625" defaultRowHeight="12.75"/>
  <cols>
    <col min="1" max="1" width="4.00390625" style="141" bestFit="1" customWidth="1"/>
    <col min="2" max="2" width="29.00390625" style="181" bestFit="1" customWidth="1"/>
    <col min="3" max="3" width="6.28125" style="182" customWidth="1"/>
    <col min="4" max="4" width="8.140625" style="183" hidden="1" customWidth="1"/>
    <col min="5" max="7" width="8.140625" style="43" hidden="1" customWidth="1"/>
    <col min="8" max="9" width="8.140625" style="43" customWidth="1"/>
    <col min="10" max="10" width="8.140625" style="43" hidden="1" customWidth="1"/>
    <col min="11" max="11" width="8.7109375" style="38" customWidth="1"/>
    <col min="12" max="12" width="9.28125" style="38" hidden="1" customWidth="1"/>
    <col min="13" max="13" width="7.28125" style="38" customWidth="1"/>
    <col min="14" max="14" width="7.7109375" style="38" customWidth="1"/>
    <col min="15" max="15" width="9.28125" style="63" customWidth="1"/>
    <col min="16" max="18" width="9.28125" style="38" hidden="1" customWidth="1"/>
    <col min="19" max="19" width="9.140625" style="38" hidden="1" customWidth="1"/>
    <col min="20" max="21" width="9.140625" style="140" hidden="1" customWidth="1"/>
    <col min="22" max="22" width="9.140625" style="141" hidden="1" customWidth="1"/>
    <col min="23" max="24" width="9.140625" style="141" customWidth="1"/>
    <col min="25" max="16384" width="8.8515625" style="141" customWidth="1"/>
  </cols>
  <sheetData>
    <row r="1" spans="1:15" ht="13.5">
      <c r="A1" s="138" t="s">
        <v>228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1" ht="15" customHeight="1">
      <c r="A2" s="142" t="s">
        <v>265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2.75">
      <c r="A3" s="143" t="s">
        <v>266</v>
      </c>
      <c r="B3" s="143"/>
      <c r="C3" s="143"/>
      <c r="D3" s="184"/>
      <c r="E3" s="184"/>
      <c r="F3" s="184"/>
      <c r="G3" s="184"/>
      <c r="H3" s="184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2.75" customHeight="1">
      <c r="A4" s="122" t="s">
        <v>71</v>
      </c>
      <c r="B4" s="122" t="s">
        <v>65</v>
      </c>
      <c r="C4" s="123" t="s">
        <v>50</v>
      </c>
      <c r="D4" s="144" t="s">
        <v>136</v>
      </c>
      <c r="E4" s="144" t="s">
        <v>137</v>
      </c>
      <c r="F4" s="144" t="s">
        <v>138</v>
      </c>
      <c r="G4" s="144" t="s">
        <v>139</v>
      </c>
      <c r="H4" s="144" t="s">
        <v>130</v>
      </c>
      <c r="I4" s="146" t="s">
        <v>131</v>
      </c>
      <c r="J4" s="146"/>
      <c r="K4" s="146"/>
      <c r="L4" s="146"/>
      <c r="M4" s="147"/>
      <c r="N4" s="120" t="s">
        <v>127</v>
      </c>
      <c r="O4" s="148" t="s">
        <v>133</v>
      </c>
      <c r="P4" s="119" t="s">
        <v>102</v>
      </c>
      <c r="Q4" s="119" t="s">
        <v>103</v>
      </c>
      <c r="R4" s="119" t="s">
        <v>104</v>
      </c>
      <c r="S4" s="119">
        <v>2025</v>
      </c>
      <c r="T4" s="144" t="s">
        <v>123</v>
      </c>
      <c r="U4" s="144" t="s">
        <v>124</v>
      </c>
    </row>
    <row r="5" spans="1:21" s="150" customFormat="1" ht="49.5" customHeight="1">
      <c r="A5" s="122"/>
      <c r="B5" s="122"/>
      <c r="C5" s="123"/>
      <c r="D5" s="144"/>
      <c r="E5" s="144"/>
      <c r="F5" s="144"/>
      <c r="G5" s="144"/>
      <c r="H5" s="144"/>
      <c r="I5" s="64" t="s">
        <v>129</v>
      </c>
      <c r="J5" s="109" t="s">
        <v>132</v>
      </c>
      <c r="K5" s="108" t="s">
        <v>126</v>
      </c>
      <c r="L5" s="109" t="s">
        <v>134</v>
      </c>
      <c r="M5" s="109" t="s">
        <v>135</v>
      </c>
      <c r="N5" s="121"/>
      <c r="O5" s="149"/>
      <c r="P5" s="119"/>
      <c r="Q5" s="119"/>
      <c r="R5" s="119"/>
      <c r="S5" s="119"/>
      <c r="T5" s="144"/>
      <c r="U5" s="144"/>
    </row>
    <row r="6" spans="1:21" s="150" customFormat="1" ht="2.25" customHeight="1" hidden="1">
      <c r="A6" s="106"/>
      <c r="B6" s="185" t="s">
        <v>264</v>
      </c>
      <c r="C6" s="107" t="s">
        <v>160</v>
      </c>
      <c r="D6" s="186"/>
      <c r="E6" s="187">
        <f>E8/D8*100-100</f>
        <v>10.621494128944704</v>
      </c>
      <c r="F6" s="187">
        <f>F8/E8*100-100</f>
        <v>17.124279911352616</v>
      </c>
      <c r="G6" s="187">
        <f>G8/F8*100-100</f>
        <v>63.101826657912454</v>
      </c>
      <c r="H6" s="187">
        <f>H8/G8*100-100</f>
        <v>56.71946449502724</v>
      </c>
      <c r="I6" s="187">
        <f>I8/H8*100-100</f>
        <v>3.4123011108468546</v>
      </c>
      <c r="J6" s="187">
        <f>J8/H8*100-100</f>
        <v>-63.54141521887874</v>
      </c>
      <c r="K6" s="187">
        <f>K8/H8*100-100</f>
        <v>0.7906290982840289</v>
      </c>
      <c r="L6" s="61">
        <f>K6/H6*100</f>
        <v>1.3939290600202083</v>
      </c>
      <c r="M6" s="61">
        <f>K6/I6*100</f>
        <v>23.16996866926005</v>
      </c>
      <c r="N6" s="187">
        <f>N8/K8*100-100</f>
        <v>31.407110534708465</v>
      </c>
      <c r="O6" s="151">
        <f>N6/K6*100</f>
        <v>3972.4202667058485</v>
      </c>
      <c r="P6" s="188">
        <f>P8/N8*100-100</f>
        <v>25.067574393751443</v>
      </c>
      <c r="Q6" s="188">
        <f>Q8/P8*100-100</f>
        <v>0.8964465375791804</v>
      </c>
      <c r="R6" s="188">
        <f>R8/Q8*100-100</f>
        <v>1.0508878550676855</v>
      </c>
      <c r="S6" s="188">
        <f>S8/R8*100-100</f>
        <v>1.3252737149361593</v>
      </c>
      <c r="T6" s="188">
        <f>K8/E8*100-100</f>
        <v>201.751094281367</v>
      </c>
      <c r="U6" s="189">
        <f>S8/N8*100-100</f>
        <v>29.20476112290862</v>
      </c>
    </row>
    <row r="7" spans="1:21" s="150" customFormat="1" ht="12.75" hidden="1">
      <c r="A7" s="106"/>
      <c r="B7" s="185" t="s">
        <v>263</v>
      </c>
      <c r="C7" s="107" t="s">
        <v>77</v>
      </c>
      <c r="D7" s="190">
        <f>D8-D9</f>
        <v>75.15352112867117</v>
      </c>
      <c r="E7" s="190">
        <f>E8-E9</f>
        <v>83.38543807340648</v>
      </c>
      <c r="F7" s="190">
        <f aca="true" t="shared" si="0" ref="F7:K7">F8-F9</f>
        <v>91.47746254256009</v>
      </c>
      <c r="G7" s="190">
        <f t="shared" si="0"/>
        <v>296.9487247179954</v>
      </c>
      <c r="H7" s="190">
        <f t="shared" si="0"/>
        <v>633.3672619857975</v>
      </c>
      <c r="I7" s="190">
        <f t="shared" si="0"/>
        <v>522.976008966044</v>
      </c>
      <c r="J7" s="190">
        <f t="shared" si="0"/>
        <v>-92.80286764968719</v>
      </c>
      <c r="K7" s="190">
        <f t="shared" si="0"/>
        <v>621.6740327816801</v>
      </c>
      <c r="L7" s="61">
        <f>K7/H7*100</f>
        <v>98.15379955581291</v>
      </c>
      <c r="M7" s="61">
        <f>K7/I7*100</f>
        <v>118.87238078296714</v>
      </c>
      <c r="N7" s="190">
        <f>N8-N9</f>
        <v>842.5036187665403</v>
      </c>
      <c r="O7" s="151"/>
      <c r="P7" s="190">
        <f>P8-P9</f>
        <v>1097.4468255993602</v>
      </c>
      <c r="Q7" s="190">
        <f>Q8-Q9</f>
        <v>1113.543601009616</v>
      </c>
      <c r="R7" s="190">
        <f>R8-R9</f>
        <v>1132.5671374746244</v>
      </c>
      <c r="S7" s="190">
        <f>S8-S9</f>
        <v>1156.8391682252002</v>
      </c>
      <c r="T7" s="20">
        <f>SUM(E7:H7)+K7</f>
        <v>1726.8529201014396</v>
      </c>
      <c r="U7" s="20">
        <f>N7+SUM(P7:S7)</f>
        <v>5342.900351075341</v>
      </c>
    </row>
    <row r="8" spans="1:21" s="193" customFormat="1" ht="12.75" hidden="1">
      <c r="A8" s="24"/>
      <c r="B8" s="60" t="s">
        <v>262</v>
      </c>
      <c r="C8" s="22" t="s">
        <v>77</v>
      </c>
      <c r="D8" s="191">
        <f aca="true" t="shared" si="1" ref="D8:S8">D11+D141+D152+D172</f>
        <v>336.0353852089</v>
      </c>
      <c r="E8" s="191">
        <f t="shared" si="1"/>
        <v>371.72736392004003</v>
      </c>
      <c r="F8" s="191">
        <f t="shared" si="1"/>
        <v>435.3829982248001</v>
      </c>
      <c r="G8" s="191">
        <f t="shared" si="1"/>
        <v>710.1176230626354</v>
      </c>
      <c r="H8" s="192">
        <f t="shared" si="1"/>
        <v>1112.8925361485783</v>
      </c>
      <c r="I8" s="61">
        <f>I11+I141+I152+I172</f>
        <v>1150.867780522108</v>
      </c>
      <c r="J8" s="61">
        <f>J11+J141+J152+J172</f>
        <v>405.7448688145</v>
      </c>
      <c r="K8" s="61">
        <f t="shared" si="1"/>
        <v>1121.6913883720001</v>
      </c>
      <c r="L8" s="61">
        <f>K8/H8*100</f>
        <v>100.79062909828403</v>
      </c>
      <c r="M8" s="61">
        <f>K8/I8*100</f>
        <v>97.4648354360158</v>
      </c>
      <c r="N8" s="61">
        <f>N11+N141+N152+N172</f>
        <v>1473.9822425763002</v>
      </c>
      <c r="O8" s="151">
        <f aca="true" t="shared" si="2" ref="O8:O70">N8/K8*100</f>
        <v>131.40711053470847</v>
      </c>
      <c r="P8" s="55">
        <f>P11+P141+P152+P172</f>
        <v>1843.4738377848003</v>
      </c>
      <c r="Q8" s="55">
        <f t="shared" si="1"/>
        <v>1859.9995951748</v>
      </c>
      <c r="R8" s="55">
        <f t="shared" si="1"/>
        <v>1879.5461050248002</v>
      </c>
      <c r="S8" s="55">
        <f t="shared" si="1"/>
        <v>1904.4552355148003</v>
      </c>
      <c r="T8" s="20">
        <f>SUM(E8:H8)+K8</f>
        <v>3751.811909728054</v>
      </c>
      <c r="U8" s="20">
        <f>N8+SUM(P8:S8)</f>
        <v>8961.457016075501</v>
      </c>
    </row>
    <row r="9" spans="1:21" s="65" customFormat="1" ht="60.75" customHeight="1" hidden="1">
      <c r="A9" s="24"/>
      <c r="B9" s="48" t="s">
        <v>118</v>
      </c>
      <c r="C9" s="22" t="s">
        <v>77</v>
      </c>
      <c r="D9" s="55">
        <f aca="true" t="shared" si="3" ref="D9:S9">D12+D142+D153+D173</f>
        <v>260.8818640802288</v>
      </c>
      <c r="E9" s="55">
        <f t="shared" si="3"/>
        <v>288.34192584663356</v>
      </c>
      <c r="F9" s="55">
        <f t="shared" si="3"/>
        <v>343.90553568224</v>
      </c>
      <c r="G9" s="55">
        <f t="shared" si="3"/>
        <v>413.16889834464</v>
      </c>
      <c r="H9" s="55">
        <f t="shared" si="3"/>
        <v>479.52527416278076</v>
      </c>
      <c r="I9" s="55">
        <f t="shared" si="3"/>
        <v>627.891771556064</v>
      </c>
      <c r="J9" s="55">
        <f>J12+J142+J153+J173</f>
        <v>498.5477364641872</v>
      </c>
      <c r="K9" s="55">
        <f t="shared" si="3"/>
        <v>500.01735559032005</v>
      </c>
      <c r="L9" s="61">
        <f aca="true" t="shared" si="4" ref="L9:L72">K9/H9*100</f>
        <v>104.27341008528008</v>
      </c>
      <c r="M9" s="61">
        <f aca="true" t="shared" si="5" ref="M9:M72">K9/I9*100</f>
        <v>79.63432206654963</v>
      </c>
      <c r="N9" s="55">
        <f>N12+N142+N153+N173</f>
        <v>631.4786238097599</v>
      </c>
      <c r="O9" s="194">
        <f t="shared" si="2"/>
        <v>126.29134104039986</v>
      </c>
      <c r="P9" s="55">
        <f t="shared" si="3"/>
        <v>746.02701218544</v>
      </c>
      <c r="Q9" s="55">
        <f t="shared" si="3"/>
        <v>746.4559941651842</v>
      </c>
      <c r="R9" s="55">
        <f t="shared" si="3"/>
        <v>746.9789675501759</v>
      </c>
      <c r="S9" s="55">
        <f t="shared" si="3"/>
        <v>747.6160672896001</v>
      </c>
      <c r="T9" s="20">
        <f aca="true" t="shared" si="6" ref="T9:T72">SUM(E9:H9)+K9</f>
        <v>2024.9589896266143</v>
      </c>
      <c r="U9" s="20">
        <f aca="true" t="shared" si="7" ref="U9:U72">N9+SUM(P9:S9)</f>
        <v>3618.5566650001606</v>
      </c>
    </row>
    <row r="10" spans="1:21" s="152" customFormat="1" ht="12.75">
      <c r="A10" s="50" t="s">
        <v>1</v>
      </c>
      <c r="B10" s="51" t="s">
        <v>106</v>
      </c>
      <c r="C10" s="50" t="s">
        <v>0</v>
      </c>
      <c r="D10" s="53">
        <f aca="true" t="shared" si="8" ref="D10:R10">D13+D60+D135+D140</f>
        <v>26868.449999999997</v>
      </c>
      <c r="E10" s="20">
        <f t="shared" si="8"/>
        <v>27002.96</v>
      </c>
      <c r="F10" s="20">
        <f t="shared" si="8"/>
        <v>27417.42</v>
      </c>
      <c r="G10" s="20">
        <f t="shared" si="8"/>
        <v>27831.889999999996</v>
      </c>
      <c r="H10" s="20">
        <f>H13+H60+H135+H140</f>
        <v>27548.040000000005</v>
      </c>
      <c r="I10" s="20">
        <f t="shared" si="8"/>
        <v>28679.5</v>
      </c>
      <c r="J10" s="20">
        <f>J13+J60+J135+J140</f>
        <v>26976.300000000003</v>
      </c>
      <c r="K10" s="20">
        <f t="shared" si="8"/>
        <v>27551.63</v>
      </c>
      <c r="L10" s="61">
        <f t="shared" si="4"/>
        <v>100.01303178011938</v>
      </c>
      <c r="M10" s="61">
        <f t="shared" si="5"/>
        <v>96.06733032305306</v>
      </c>
      <c r="N10" s="20">
        <f>N13+N60+N135+N140</f>
        <v>28746.83</v>
      </c>
      <c r="O10" s="194">
        <f t="shared" si="2"/>
        <v>104.33803735024026</v>
      </c>
      <c r="P10" s="20">
        <f t="shared" si="8"/>
        <v>29122.030000000002</v>
      </c>
      <c r="Q10" s="20">
        <f t="shared" si="8"/>
        <v>29689.030000000002</v>
      </c>
      <c r="R10" s="20">
        <f t="shared" si="8"/>
        <v>30245.930000000004</v>
      </c>
      <c r="S10" s="20">
        <f>S13+S60+S135+S140</f>
        <v>30892.190000000002</v>
      </c>
      <c r="T10" s="20">
        <f t="shared" si="6"/>
        <v>137351.94</v>
      </c>
      <c r="U10" s="20">
        <f t="shared" si="7"/>
        <v>148696.01</v>
      </c>
    </row>
    <row r="11" spans="1:25" s="153" customFormat="1" ht="12.75" hidden="1">
      <c r="A11" s="22"/>
      <c r="B11" s="48" t="s">
        <v>110</v>
      </c>
      <c r="C11" s="22" t="s">
        <v>77</v>
      </c>
      <c r="D11" s="53">
        <f aca="true" t="shared" si="9" ref="D11:S11">D14+D61+D138</f>
        <v>328.0295046454</v>
      </c>
      <c r="E11" s="24">
        <f t="shared" si="9"/>
        <v>362.48117202304</v>
      </c>
      <c r="F11" s="24">
        <f t="shared" si="9"/>
        <v>419.89099792480005</v>
      </c>
      <c r="G11" s="24">
        <f t="shared" si="9"/>
        <v>683.8556181626354</v>
      </c>
      <c r="H11" s="24">
        <f t="shared" si="9"/>
        <v>1090.1521553075784</v>
      </c>
      <c r="I11" s="24">
        <f t="shared" si="9"/>
        <v>1112.8862752721082</v>
      </c>
      <c r="J11" s="24">
        <f>J14+J61+J138</f>
        <v>395.641963808</v>
      </c>
      <c r="K11" s="24">
        <f t="shared" si="9"/>
        <v>1095.9597684970001</v>
      </c>
      <c r="L11" s="61">
        <f t="shared" si="4"/>
        <v>100.53273418404454</v>
      </c>
      <c r="M11" s="61">
        <f t="shared" si="5"/>
        <v>98.47904434161798</v>
      </c>
      <c r="N11" s="24">
        <f>N14+N61+N138</f>
        <v>1435.4448123263003</v>
      </c>
      <c r="O11" s="194">
        <f t="shared" si="2"/>
        <v>130.97604981384217</v>
      </c>
      <c r="P11" s="24">
        <f t="shared" si="9"/>
        <v>1787.9333717848003</v>
      </c>
      <c r="Q11" s="24">
        <f t="shared" si="9"/>
        <v>1800.6112131748002</v>
      </c>
      <c r="R11" s="24">
        <f t="shared" si="9"/>
        <v>1815.5942167748003</v>
      </c>
      <c r="S11" s="24">
        <f t="shared" si="9"/>
        <v>1834.2777960148</v>
      </c>
      <c r="T11" s="20">
        <f t="shared" si="6"/>
        <v>3652.339711915054</v>
      </c>
      <c r="U11" s="20">
        <f t="shared" si="7"/>
        <v>8673.861410075502</v>
      </c>
      <c r="Y11" s="152"/>
    </row>
    <row r="12" spans="1:25" s="153" customFormat="1" ht="12.75" hidden="1">
      <c r="A12" s="22"/>
      <c r="B12" s="48" t="s">
        <v>119</v>
      </c>
      <c r="C12" s="22"/>
      <c r="D12" s="53">
        <f aca="true" t="shared" si="10" ref="D12:S12">D15+D62+D139</f>
        <v>260.65129472</v>
      </c>
      <c r="E12" s="24">
        <f t="shared" si="10"/>
        <v>288.07563552</v>
      </c>
      <c r="F12" s="24">
        <f t="shared" si="10"/>
        <v>343.4593660736</v>
      </c>
      <c r="G12" s="24">
        <f t="shared" si="10"/>
        <v>412.41255260352</v>
      </c>
      <c r="H12" s="24">
        <f t="shared" si="10"/>
        <v>478.87035119456</v>
      </c>
      <c r="I12" s="24">
        <f>I15+I62+I139</f>
        <v>626.959731404864</v>
      </c>
      <c r="J12" s="24">
        <f>J15+J62+J139</f>
        <v>498.2855728</v>
      </c>
      <c r="K12" s="24">
        <f t="shared" si="10"/>
        <v>499.27628493792</v>
      </c>
      <c r="L12" s="61">
        <f t="shared" si="4"/>
        <v>104.2612648063211</v>
      </c>
      <c r="M12" s="61">
        <f t="shared" si="5"/>
        <v>79.6345060023494</v>
      </c>
      <c r="N12" s="24">
        <f>N15+N62+N139</f>
        <v>630.53057301856</v>
      </c>
      <c r="O12" s="194">
        <f t="shared" si="2"/>
        <v>126.28890897490956</v>
      </c>
      <c r="P12" s="24">
        <f t="shared" si="10"/>
        <v>744.42744676464</v>
      </c>
      <c r="Q12" s="24">
        <f t="shared" si="10"/>
        <v>744.7456087635842</v>
      </c>
      <c r="R12" s="24">
        <f t="shared" si="10"/>
        <v>745.137153168576</v>
      </c>
      <c r="S12" s="24">
        <f t="shared" si="10"/>
        <v>745.594957032</v>
      </c>
      <c r="T12" s="20">
        <f t="shared" si="6"/>
        <v>2022.0941903296002</v>
      </c>
      <c r="U12" s="20">
        <f t="shared" si="7"/>
        <v>3610.43573874736</v>
      </c>
      <c r="Y12" s="152"/>
    </row>
    <row r="13" spans="1:25" s="39" customFormat="1" ht="12.75">
      <c r="A13" s="2">
        <v>1</v>
      </c>
      <c r="B13" s="23" t="s">
        <v>45</v>
      </c>
      <c r="C13" s="2" t="s">
        <v>0</v>
      </c>
      <c r="D13" s="53">
        <f>D16+D34+D43+D53</f>
        <v>2121.85</v>
      </c>
      <c r="E13" s="24">
        <f aca="true" t="shared" si="11" ref="E13:R13">E16+E34+E43+E53</f>
        <v>1936.23</v>
      </c>
      <c r="F13" s="24">
        <f t="shared" si="11"/>
        <v>1854.2199999999998</v>
      </c>
      <c r="G13" s="24">
        <f t="shared" si="11"/>
        <v>2146.35</v>
      </c>
      <c r="H13" s="24">
        <f t="shared" si="11"/>
        <v>1772.8</v>
      </c>
      <c r="I13" s="24">
        <f>I16+I34+I43+I53</f>
        <v>2624.3</v>
      </c>
      <c r="J13" s="24">
        <f>J16+J34+J43+J53</f>
        <v>1187.5</v>
      </c>
      <c r="K13" s="24">
        <f>K16+K34+K43+K53</f>
        <v>1644.6</v>
      </c>
      <c r="L13" s="61">
        <f t="shared" si="4"/>
        <v>92.76850180505414</v>
      </c>
      <c r="M13" s="61">
        <f t="shared" si="5"/>
        <v>62.66814007544868</v>
      </c>
      <c r="N13" s="24">
        <f>N16+N34+N43+N53</f>
        <v>2653.8</v>
      </c>
      <c r="O13" s="194">
        <f t="shared" si="2"/>
        <v>161.36446552353158</v>
      </c>
      <c r="P13" s="24">
        <f t="shared" si="11"/>
        <v>2140.8</v>
      </c>
      <c r="Q13" s="24">
        <f t="shared" si="11"/>
        <v>2156.8</v>
      </c>
      <c r="R13" s="24">
        <f t="shared" si="11"/>
        <v>2161.8</v>
      </c>
      <c r="S13" s="24">
        <f>S16+S34+S43+S53</f>
        <v>2173.8</v>
      </c>
      <c r="T13" s="20">
        <f t="shared" si="6"/>
        <v>9354.199999999999</v>
      </c>
      <c r="U13" s="20">
        <f t="shared" si="7"/>
        <v>11287</v>
      </c>
      <c r="Y13" s="152"/>
    </row>
    <row r="14" spans="1:25" s="39" customFormat="1" ht="12.75" hidden="1">
      <c r="A14" s="2"/>
      <c r="B14" s="23" t="s">
        <v>99</v>
      </c>
      <c r="C14" s="2" t="s">
        <v>0</v>
      </c>
      <c r="D14" s="53">
        <f>D18+D35</f>
        <v>37.351813364</v>
      </c>
      <c r="E14" s="24">
        <f>E18+E35</f>
        <v>32.99388559999999</v>
      </c>
      <c r="F14" s="24">
        <f aca="true" t="shared" si="12" ref="F14:S14">F18+F35</f>
        <v>35.857602766</v>
      </c>
      <c r="G14" s="24">
        <f t="shared" si="12"/>
        <v>47.25483722519999</v>
      </c>
      <c r="H14" s="24">
        <f t="shared" si="12"/>
        <v>40.949686559999996</v>
      </c>
      <c r="I14" s="24">
        <f t="shared" si="12"/>
        <v>57.3919345063</v>
      </c>
      <c r="J14" s="24">
        <f>J18+J35</f>
        <v>0.534114728</v>
      </c>
      <c r="K14" s="24">
        <f t="shared" si="12"/>
        <v>37.15376812</v>
      </c>
      <c r="L14" s="61">
        <f t="shared" si="4"/>
        <v>90.73028694752482</v>
      </c>
      <c r="M14" s="61">
        <f t="shared" si="5"/>
        <v>64.73691545616323</v>
      </c>
      <c r="N14" s="24">
        <f>N18+N35</f>
        <v>60.6686665063</v>
      </c>
      <c r="O14" s="194">
        <f t="shared" si="2"/>
        <v>163.29074970364002</v>
      </c>
      <c r="P14" s="24">
        <f t="shared" si="12"/>
        <v>59.51949952</v>
      </c>
      <c r="Q14" s="24">
        <f t="shared" si="12"/>
        <v>61.15004928</v>
      </c>
      <c r="R14" s="24">
        <f t="shared" si="12"/>
        <v>62.53776103999999</v>
      </c>
      <c r="S14" s="24">
        <f t="shared" si="12"/>
        <v>65.3253728</v>
      </c>
      <c r="T14" s="20">
        <f t="shared" si="6"/>
        <v>194.20978027119997</v>
      </c>
      <c r="U14" s="20">
        <f t="shared" si="7"/>
        <v>309.2013491463</v>
      </c>
      <c r="Y14" s="152"/>
    </row>
    <row r="15" spans="1:25" s="39" customFormat="1" ht="12.75" hidden="1">
      <c r="A15" s="2"/>
      <c r="B15" s="23" t="s">
        <v>120</v>
      </c>
      <c r="C15" s="2" t="s">
        <v>77</v>
      </c>
      <c r="D15" s="5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61"/>
      <c r="M15" s="61"/>
      <c r="N15" s="24">
        <v>3</v>
      </c>
      <c r="O15" s="194"/>
      <c r="P15" s="24">
        <v>0</v>
      </c>
      <c r="Q15" s="24">
        <v>0</v>
      </c>
      <c r="R15" s="24">
        <v>0</v>
      </c>
      <c r="S15" s="24">
        <v>0</v>
      </c>
      <c r="T15" s="20">
        <f t="shared" si="6"/>
        <v>0</v>
      </c>
      <c r="U15" s="20">
        <f t="shared" si="7"/>
        <v>3</v>
      </c>
      <c r="Y15" s="152"/>
    </row>
    <row r="16" spans="1:25" s="42" customFormat="1" ht="12.75">
      <c r="A16" s="2" t="s">
        <v>13</v>
      </c>
      <c r="B16" s="23" t="s">
        <v>2</v>
      </c>
      <c r="C16" s="2" t="s">
        <v>0</v>
      </c>
      <c r="D16" s="53">
        <f>D19+D30</f>
        <v>264.4</v>
      </c>
      <c r="E16" s="24">
        <f aca="true" t="shared" si="13" ref="E16:S16">E19+E30</f>
        <v>304.9</v>
      </c>
      <c r="F16" s="24">
        <f t="shared" si="13"/>
        <v>361.6</v>
      </c>
      <c r="G16" s="24">
        <f t="shared" si="13"/>
        <v>304.34999999999997</v>
      </c>
      <c r="H16" s="24">
        <f t="shared" si="13"/>
        <v>231.09999999999997</v>
      </c>
      <c r="I16" s="24">
        <f t="shared" si="13"/>
        <v>355.3</v>
      </c>
      <c r="J16" s="24">
        <f t="shared" si="13"/>
        <v>132.8</v>
      </c>
      <c r="K16" s="24">
        <f t="shared" si="13"/>
        <v>224.8</v>
      </c>
      <c r="L16" s="61">
        <f t="shared" si="4"/>
        <v>97.27390739939422</v>
      </c>
      <c r="M16" s="61">
        <f t="shared" si="5"/>
        <v>63.27047565437658</v>
      </c>
      <c r="N16" s="24">
        <f>N19+N30</f>
        <v>355.3</v>
      </c>
      <c r="O16" s="194">
        <f t="shared" si="2"/>
        <v>158.05160142348754</v>
      </c>
      <c r="P16" s="24">
        <f t="shared" si="13"/>
        <v>288.8</v>
      </c>
      <c r="Q16" s="24">
        <f t="shared" si="13"/>
        <v>303.8</v>
      </c>
      <c r="R16" s="24">
        <f t="shared" si="13"/>
        <v>308.8</v>
      </c>
      <c r="S16" s="24">
        <f t="shared" si="13"/>
        <v>318.8</v>
      </c>
      <c r="T16" s="20">
        <f t="shared" si="6"/>
        <v>1426.7499999999998</v>
      </c>
      <c r="U16" s="20">
        <f t="shared" si="7"/>
        <v>1575.5</v>
      </c>
      <c r="V16" s="154"/>
      <c r="W16" s="154"/>
      <c r="X16" s="154"/>
      <c r="Y16" s="152"/>
    </row>
    <row r="17" spans="1:25" s="157" customFormat="1" ht="12.75" hidden="1">
      <c r="A17" s="40"/>
      <c r="B17" s="56" t="s">
        <v>125</v>
      </c>
      <c r="C17" s="40" t="s">
        <v>78</v>
      </c>
      <c r="D17" s="11">
        <f>D23+D26+D29+D32</f>
        <v>595.9645</v>
      </c>
      <c r="E17" s="11">
        <f>E23+E26+E29+E32</f>
        <v>660.1</v>
      </c>
      <c r="F17" s="11">
        <f aca="true" t="shared" si="14" ref="F17:R17">F23+F26+F29+F32</f>
        <v>901.5955</v>
      </c>
      <c r="G17" s="11">
        <f t="shared" si="14"/>
        <v>629.4045</v>
      </c>
      <c r="H17" s="11">
        <f t="shared" si="14"/>
        <v>863.605</v>
      </c>
      <c r="I17" s="11">
        <f t="shared" si="14"/>
        <v>1321.1531</v>
      </c>
      <c r="J17" s="11">
        <f t="shared" si="14"/>
        <v>114.814</v>
      </c>
      <c r="K17" s="11">
        <f t="shared" si="14"/>
        <v>776.3100000000001</v>
      </c>
      <c r="L17" s="62">
        <f t="shared" si="4"/>
        <v>89.89179080713984</v>
      </c>
      <c r="M17" s="62">
        <f t="shared" si="5"/>
        <v>58.7600331861614</v>
      </c>
      <c r="N17" s="11">
        <f>N23+N26+N29+N32</f>
        <v>1412.1531</v>
      </c>
      <c r="O17" s="104">
        <f t="shared" si="2"/>
        <v>181.90582370444795</v>
      </c>
      <c r="P17" s="11">
        <f t="shared" si="14"/>
        <v>1275.26</v>
      </c>
      <c r="Q17" s="11">
        <f t="shared" si="14"/>
        <v>1376.6399999999999</v>
      </c>
      <c r="R17" s="11">
        <f t="shared" si="14"/>
        <v>1424.02</v>
      </c>
      <c r="S17" s="11">
        <f>S23+S26+S29+S32</f>
        <v>1521.4</v>
      </c>
      <c r="T17" s="156">
        <f t="shared" si="6"/>
        <v>3831.015</v>
      </c>
      <c r="U17" s="156">
        <f t="shared" si="7"/>
        <v>7009.473099999999</v>
      </c>
      <c r="Y17" s="152"/>
    </row>
    <row r="18" spans="1:25" s="158" customFormat="1" ht="12.75" hidden="1">
      <c r="A18" s="5"/>
      <c r="B18" s="8" t="s">
        <v>111</v>
      </c>
      <c r="C18" s="5" t="s">
        <v>76</v>
      </c>
      <c r="D18" s="49">
        <f>D20+D33</f>
        <v>2.704403864</v>
      </c>
      <c r="E18" s="21">
        <f>E20+E33</f>
        <v>3.0067268</v>
      </c>
      <c r="F18" s="21">
        <f aca="true" t="shared" si="15" ref="F18:R18">F20+F33</f>
        <v>4.084993766</v>
      </c>
      <c r="G18" s="21">
        <f t="shared" si="15"/>
        <v>2.8974372252</v>
      </c>
      <c r="H18" s="21">
        <f t="shared" si="15"/>
        <v>3.9235790600000007</v>
      </c>
      <c r="I18" s="21">
        <f>I20+I33</f>
        <v>6.030734506300001</v>
      </c>
      <c r="J18" s="21">
        <f>J20+J33</f>
        <v>0.534114728</v>
      </c>
      <c r="K18" s="21">
        <f t="shared" si="15"/>
        <v>3.565359120000001</v>
      </c>
      <c r="L18" s="62">
        <f t="shared" si="4"/>
        <v>90.87007208158565</v>
      </c>
      <c r="M18" s="62">
        <f t="shared" si="5"/>
        <v>59.1198156091178</v>
      </c>
      <c r="N18" s="21">
        <f t="shared" si="15"/>
        <v>6.4540665063</v>
      </c>
      <c r="O18" s="104">
        <f t="shared" si="2"/>
        <v>181.021498510366</v>
      </c>
      <c r="P18" s="21">
        <f t="shared" si="15"/>
        <v>5.82369952</v>
      </c>
      <c r="Q18" s="21">
        <f t="shared" si="15"/>
        <v>6.28694928</v>
      </c>
      <c r="R18" s="21">
        <f t="shared" si="15"/>
        <v>6.50736104</v>
      </c>
      <c r="S18" s="21">
        <f>S20+S33</f>
        <v>6.9603728</v>
      </c>
      <c r="T18" s="156">
        <f t="shared" si="6"/>
        <v>17.478095971200002</v>
      </c>
      <c r="U18" s="156">
        <f t="shared" si="7"/>
        <v>32.0324491463</v>
      </c>
      <c r="Y18" s="152"/>
    </row>
    <row r="19" spans="1:29" s="158" customFormat="1" ht="12.75">
      <c r="A19" s="5" t="s">
        <v>10</v>
      </c>
      <c r="B19" s="8" t="s">
        <v>59</v>
      </c>
      <c r="C19" s="5" t="s">
        <v>0</v>
      </c>
      <c r="D19" s="49">
        <f>D21+D24+D27</f>
        <v>219.4</v>
      </c>
      <c r="E19" s="21">
        <f aca="true" t="shared" si="16" ref="E19:S19">E21+E24+E27</f>
        <v>247.5</v>
      </c>
      <c r="F19" s="21">
        <f t="shared" si="16"/>
        <v>286.6</v>
      </c>
      <c r="G19" s="21">
        <f t="shared" si="16"/>
        <v>269.15</v>
      </c>
      <c r="H19" s="21">
        <f t="shared" si="16"/>
        <v>169.89999999999998</v>
      </c>
      <c r="I19" s="21">
        <f t="shared" si="16"/>
        <v>285</v>
      </c>
      <c r="J19" s="21">
        <f t="shared" si="16"/>
        <v>125.8</v>
      </c>
      <c r="K19" s="21">
        <f t="shared" si="16"/>
        <v>194.8</v>
      </c>
      <c r="L19" s="62">
        <f t="shared" si="4"/>
        <v>114.65567981165394</v>
      </c>
      <c r="M19" s="62">
        <f t="shared" si="5"/>
        <v>68.35087719298247</v>
      </c>
      <c r="N19" s="21">
        <f t="shared" si="16"/>
        <v>285</v>
      </c>
      <c r="O19" s="104">
        <f t="shared" si="2"/>
        <v>146.30390143737168</v>
      </c>
      <c r="P19" s="21">
        <f t="shared" si="16"/>
        <v>223.8</v>
      </c>
      <c r="Q19" s="21">
        <f t="shared" si="16"/>
        <v>233.8</v>
      </c>
      <c r="R19" s="21">
        <f t="shared" si="16"/>
        <v>238.8</v>
      </c>
      <c r="S19" s="21">
        <f t="shared" si="16"/>
        <v>248.8</v>
      </c>
      <c r="T19" s="156">
        <f t="shared" si="6"/>
        <v>1167.95</v>
      </c>
      <c r="U19" s="156">
        <f t="shared" si="7"/>
        <v>1230.2</v>
      </c>
      <c r="V19" s="159"/>
      <c r="W19" s="159"/>
      <c r="X19" s="159"/>
      <c r="Y19" s="152"/>
      <c r="Z19" s="159"/>
      <c r="AA19" s="159"/>
      <c r="AB19" s="159"/>
      <c r="AC19" s="159"/>
    </row>
    <row r="20" spans="1:25" s="158" customFormat="1" ht="12.75" hidden="1">
      <c r="A20" s="5"/>
      <c r="B20" s="8" t="s">
        <v>109</v>
      </c>
      <c r="C20" s="5" t="s">
        <v>76</v>
      </c>
      <c r="D20" s="49">
        <f>(D23+D26+D29)*4.652/1000</f>
        <v>1.638222734</v>
      </c>
      <c r="E20" s="49">
        <f aca="true" t="shared" si="17" ref="E20:S20">(E23+E26+E29)*4.652/1000</f>
        <v>2.002686</v>
      </c>
      <c r="F20" s="49">
        <f t="shared" si="17"/>
        <v>2.372964266</v>
      </c>
      <c r="G20" s="49">
        <f t="shared" si="17"/>
        <v>2.4185622396</v>
      </c>
      <c r="H20" s="49">
        <f t="shared" si="17"/>
        <v>2.4516272600000004</v>
      </c>
      <c r="I20" s="49">
        <f t="shared" si="17"/>
        <v>4.224016000000001</v>
      </c>
      <c r="J20" s="49">
        <f t="shared" si="17"/>
        <v>0.534114728</v>
      </c>
      <c r="K20" s="49">
        <f t="shared" si="17"/>
        <v>2.8438141200000007</v>
      </c>
      <c r="L20" s="62">
        <f t="shared" si="4"/>
        <v>115.99700192597795</v>
      </c>
      <c r="M20" s="62">
        <f t="shared" si="5"/>
        <v>67.32488986784142</v>
      </c>
      <c r="N20" s="49">
        <f t="shared" si="17"/>
        <v>4.647348</v>
      </c>
      <c r="O20" s="104">
        <f t="shared" si="17"/>
        <v>2.511273027796109</v>
      </c>
      <c r="P20" s="49">
        <f t="shared" si="17"/>
        <v>4.11822952</v>
      </c>
      <c r="Q20" s="49">
        <f t="shared" si="17"/>
        <v>4.45028928</v>
      </c>
      <c r="R20" s="49">
        <f t="shared" si="17"/>
        <v>4.67070104</v>
      </c>
      <c r="S20" s="49">
        <f t="shared" si="17"/>
        <v>5.1237128</v>
      </c>
      <c r="T20" s="156">
        <f t="shared" si="6"/>
        <v>12.0896538856</v>
      </c>
      <c r="U20" s="156">
        <f t="shared" si="7"/>
        <v>23.01028064</v>
      </c>
      <c r="Y20" s="152"/>
    </row>
    <row r="21" spans="1:25" s="158" customFormat="1" ht="12.75">
      <c r="A21" s="7" t="s">
        <v>3</v>
      </c>
      <c r="B21" s="8" t="s">
        <v>73</v>
      </c>
      <c r="C21" s="5" t="s">
        <v>0</v>
      </c>
      <c r="D21" s="49">
        <v>3</v>
      </c>
      <c r="E21" s="21">
        <v>11.2</v>
      </c>
      <c r="F21" s="21">
        <v>29.5</v>
      </c>
      <c r="G21" s="21">
        <v>27.25</v>
      </c>
      <c r="H21" s="21">
        <v>28.1</v>
      </c>
      <c r="I21" s="21">
        <v>40</v>
      </c>
      <c r="J21" s="21">
        <v>27.8</v>
      </c>
      <c r="K21" s="21">
        <v>27.8</v>
      </c>
      <c r="L21" s="62">
        <f t="shared" si="4"/>
        <v>98.932384341637</v>
      </c>
      <c r="M21" s="62">
        <f t="shared" si="5"/>
        <v>69.5</v>
      </c>
      <c r="N21" s="21">
        <v>40</v>
      </c>
      <c r="O21" s="104">
        <f t="shared" si="2"/>
        <v>143.88489208633092</v>
      </c>
      <c r="P21" s="21">
        <v>45</v>
      </c>
      <c r="Q21" s="21">
        <v>50</v>
      </c>
      <c r="R21" s="21">
        <v>55</v>
      </c>
      <c r="S21" s="21">
        <v>65</v>
      </c>
      <c r="T21" s="156">
        <f t="shared" si="6"/>
        <v>123.85000000000001</v>
      </c>
      <c r="U21" s="156">
        <f t="shared" si="7"/>
        <v>255</v>
      </c>
      <c r="Y21" s="152"/>
    </row>
    <row r="22" spans="1:25" s="160" customFormat="1" ht="12.75" hidden="1">
      <c r="A22" s="9" t="s">
        <v>60</v>
      </c>
      <c r="B22" s="25" t="s">
        <v>42</v>
      </c>
      <c r="C22" s="10" t="s">
        <v>55</v>
      </c>
      <c r="D22" s="49">
        <v>40</v>
      </c>
      <c r="E22" s="21">
        <v>45</v>
      </c>
      <c r="F22" s="21">
        <v>49.49</v>
      </c>
      <c r="G22" s="21">
        <v>47.34</v>
      </c>
      <c r="H22" s="21">
        <v>40.5</v>
      </c>
      <c r="I22" s="21">
        <v>38</v>
      </c>
      <c r="J22" s="21">
        <v>41.3</v>
      </c>
      <c r="K22" s="21">
        <v>42</v>
      </c>
      <c r="L22" s="62">
        <f t="shared" si="4"/>
        <v>103.7037037037037</v>
      </c>
      <c r="M22" s="62">
        <f t="shared" si="5"/>
        <v>110.5263157894737</v>
      </c>
      <c r="N22" s="21">
        <v>42</v>
      </c>
      <c r="O22" s="104">
        <f t="shared" si="2"/>
        <v>100</v>
      </c>
      <c r="P22" s="21">
        <v>46</v>
      </c>
      <c r="Q22" s="21">
        <v>47</v>
      </c>
      <c r="R22" s="21">
        <v>48</v>
      </c>
      <c r="S22" s="21">
        <v>50</v>
      </c>
      <c r="T22" s="156">
        <f t="shared" si="6"/>
        <v>224.33</v>
      </c>
      <c r="U22" s="156">
        <f t="shared" si="7"/>
        <v>233</v>
      </c>
      <c r="Y22" s="152"/>
    </row>
    <row r="23" spans="1:25" s="160" customFormat="1" ht="15" customHeight="1" hidden="1">
      <c r="A23" s="9" t="s">
        <v>60</v>
      </c>
      <c r="B23" s="25" t="s">
        <v>61</v>
      </c>
      <c r="C23" s="10" t="s">
        <v>30</v>
      </c>
      <c r="D23" s="161">
        <f>D21*D22/10</f>
        <v>12</v>
      </c>
      <c r="E23" s="19">
        <f aca="true" t="shared" si="18" ref="E23:S23">E21*E22/10</f>
        <v>50.39999999999999</v>
      </c>
      <c r="F23" s="19">
        <f t="shared" si="18"/>
        <v>145.99550000000002</v>
      </c>
      <c r="G23" s="19">
        <f t="shared" si="18"/>
        <v>129.00150000000002</v>
      </c>
      <c r="H23" s="19">
        <f t="shared" si="18"/>
        <v>113.80499999999999</v>
      </c>
      <c r="I23" s="19">
        <f t="shared" si="18"/>
        <v>152</v>
      </c>
      <c r="J23" s="19">
        <f t="shared" si="18"/>
        <v>114.814</v>
      </c>
      <c r="K23" s="19">
        <f t="shared" si="18"/>
        <v>116.76000000000002</v>
      </c>
      <c r="L23" s="62">
        <f t="shared" si="4"/>
        <v>102.59654672466063</v>
      </c>
      <c r="M23" s="62">
        <f t="shared" si="5"/>
        <v>76.81578947368422</v>
      </c>
      <c r="N23" s="19">
        <f>N21*N22/10</f>
        <v>168</v>
      </c>
      <c r="O23" s="104">
        <f t="shared" si="2"/>
        <v>143.8848920863309</v>
      </c>
      <c r="P23" s="19">
        <f t="shared" si="18"/>
        <v>207</v>
      </c>
      <c r="Q23" s="19">
        <f t="shared" si="18"/>
        <v>235</v>
      </c>
      <c r="R23" s="19">
        <f t="shared" si="18"/>
        <v>264</v>
      </c>
      <c r="S23" s="19">
        <f t="shared" si="18"/>
        <v>325</v>
      </c>
      <c r="T23" s="156">
        <f t="shared" si="6"/>
        <v>555.9620000000001</v>
      </c>
      <c r="U23" s="156">
        <f t="shared" si="7"/>
        <v>1199</v>
      </c>
      <c r="Y23" s="152"/>
    </row>
    <row r="24" spans="1:25" s="158" customFormat="1" ht="12.75">
      <c r="A24" s="7" t="s">
        <v>3</v>
      </c>
      <c r="B24" s="8" t="s">
        <v>58</v>
      </c>
      <c r="C24" s="5" t="s">
        <v>0</v>
      </c>
      <c r="D24" s="49">
        <v>23.5</v>
      </c>
      <c r="E24" s="21">
        <v>30.8</v>
      </c>
      <c r="F24" s="21">
        <v>82.6</v>
      </c>
      <c r="G24" s="21">
        <v>45.2</v>
      </c>
      <c r="H24" s="21">
        <v>48</v>
      </c>
      <c r="I24" s="21">
        <v>95</v>
      </c>
      <c r="J24" s="21">
        <v>13</v>
      </c>
      <c r="K24" s="21">
        <v>33.5</v>
      </c>
      <c r="L24" s="62">
        <f t="shared" si="4"/>
        <v>69.79166666666666</v>
      </c>
      <c r="M24" s="62">
        <f t="shared" si="5"/>
        <v>35.26315789473684</v>
      </c>
      <c r="N24" s="21">
        <v>95</v>
      </c>
      <c r="O24" s="104">
        <f t="shared" si="2"/>
        <v>283.5820895522388</v>
      </c>
      <c r="P24" s="21">
        <v>85</v>
      </c>
      <c r="Q24" s="21">
        <v>90</v>
      </c>
      <c r="R24" s="21">
        <v>90</v>
      </c>
      <c r="S24" s="21">
        <v>90</v>
      </c>
      <c r="T24" s="156">
        <f t="shared" si="6"/>
        <v>240.1</v>
      </c>
      <c r="U24" s="156">
        <f t="shared" si="7"/>
        <v>450</v>
      </c>
      <c r="Y24" s="152"/>
    </row>
    <row r="25" spans="1:25" s="158" customFormat="1" ht="12.75" hidden="1">
      <c r="A25" s="9" t="s">
        <v>60</v>
      </c>
      <c r="B25" s="25" t="s">
        <v>42</v>
      </c>
      <c r="C25" s="10" t="s">
        <v>55</v>
      </c>
      <c r="D25" s="49">
        <v>32.29</v>
      </c>
      <c r="E25" s="21">
        <v>30</v>
      </c>
      <c r="F25" s="21">
        <v>35</v>
      </c>
      <c r="G25" s="21">
        <v>21.64</v>
      </c>
      <c r="H25" s="21">
        <v>47</v>
      </c>
      <c r="I25" s="21">
        <v>48</v>
      </c>
      <c r="J25" s="21"/>
      <c r="K25" s="21">
        <v>48</v>
      </c>
      <c r="L25" s="62">
        <f t="shared" si="4"/>
        <v>102.12765957446808</v>
      </c>
      <c r="M25" s="62">
        <f t="shared" si="5"/>
        <v>100</v>
      </c>
      <c r="N25" s="21">
        <v>48</v>
      </c>
      <c r="O25" s="104">
        <f t="shared" si="2"/>
        <v>100</v>
      </c>
      <c r="P25" s="21">
        <v>50</v>
      </c>
      <c r="Q25" s="21">
        <v>51</v>
      </c>
      <c r="R25" s="21">
        <v>52</v>
      </c>
      <c r="S25" s="21">
        <v>55</v>
      </c>
      <c r="T25" s="156">
        <f t="shared" si="6"/>
        <v>181.64</v>
      </c>
      <c r="U25" s="156">
        <f t="shared" si="7"/>
        <v>256</v>
      </c>
      <c r="Y25" s="152"/>
    </row>
    <row r="26" spans="1:25" s="158" customFormat="1" ht="12.75" hidden="1">
      <c r="A26" s="9" t="s">
        <v>60</v>
      </c>
      <c r="B26" s="25" t="s">
        <v>61</v>
      </c>
      <c r="C26" s="10" t="s">
        <v>30</v>
      </c>
      <c r="D26" s="49">
        <f>D24*D25/10</f>
        <v>75.88149999999999</v>
      </c>
      <c r="E26" s="21">
        <f aca="true" t="shared" si="19" ref="E26:S26">E24*E25/10</f>
        <v>92.4</v>
      </c>
      <c r="F26" s="21">
        <f t="shared" si="19"/>
        <v>289.1</v>
      </c>
      <c r="G26" s="21">
        <f t="shared" si="19"/>
        <v>97.81280000000001</v>
      </c>
      <c r="H26" s="21">
        <f t="shared" si="19"/>
        <v>225.6</v>
      </c>
      <c r="I26" s="21">
        <f t="shared" si="19"/>
        <v>456</v>
      </c>
      <c r="J26" s="21"/>
      <c r="K26" s="21">
        <f t="shared" si="19"/>
        <v>160.8</v>
      </c>
      <c r="L26" s="62">
        <f t="shared" si="4"/>
        <v>71.27659574468086</v>
      </c>
      <c r="M26" s="62">
        <f t="shared" si="5"/>
        <v>35.26315789473685</v>
      </c>
      <c r="N26" s="21">
        <f>N24*N25/10</f>
        <v>456</v>
      </c>
      <c r="O26" s="104">
        <f t="shared" si="2"/>
        <v>283.58208955223876</v>
      </c>
      <c r="P26" s="21">
        <f t="shared" si="19"/>
        <v>425</v>
      </c>
      <c r="Q26" s="21">
        <f t="shared" si="19"/>
        <v>459</v>
      </c>
      <c r="R26" s="21">
        <f t="shared" si="19"/>
        <v>468</v>
      </c>
      <c r="S26" s="21">
        <f t="shared" si="19"/>
        <v>495</v>
      </c>
      <c r="T26" s="156">
        <f t="shared" si="6"/>
        <v>865.7128</v>
      </c>
      <c r="U26" s="156">
        <f t="shared" si="7"/>
        <v>2303</v>
      </c>
      <c r="Y26" s="152"/>
    </row>
    <row r="27" spans="1:25" s="158" customFormat="1" ht="12.75">
      <c r="A27" s="7" t="s">
        <v>3</v>
      </c>
      <c r="B27" s="8" t="s">
        <v>72</v>
      </c>
      <c r="C27" s="5" t="s">
        <v>0</v>
      </c>
      <c r="D27" s="49">
        <v>192.9</v>
      </c>
      <c r="E27" s="21">
        <v>205.5</v>
      </c>
      <c r="F27" s="21">
        <v>174.5</v>
      </c>
      <c r="G27" s="21">
        <v>196.7</v>
      </c>
      <c r="H27" s="21">
        <v>93.8</v>
      </c>
      <c r="I27" s="21">
        <v>150</v>
      </c>
      <c r="J27" s="21">
        <v>85</v>
      </c>
      <c r="K27" s="21">
        <v>133.5</v>
      </c>
      <c r="L27" s="62">
        <f t="shared" si="4"/>
        <v>142.32409381663115</v>
      </c>
      <c r="M27" s="62">
        <f t="shared" si="5"/>
        <v>89</v>
      </c>
      <c r="N27" s="21">
        <v>150</v>
      </c>
      <c r="O27" s="104">
        <f>N27/K27*100</f>
        <v>112.35955056179776</v>
      </c>
      <c r="P27" s="21">
        <v>93.8</v>
      </c>
      <c r="Q27" s="21">
        <v>93.8</v>
      </c>
      <c r="R27" s="21">
        <v>93.8</v>
      </c>
      <c r="S27" s="21">
        <v>93.8</v>
      </c>
      <c r="T27" s="156">
        <f t="shared" si="6"/>
        <v>804</v>
      </c>
      <c r="U27" s="156">
        <f t="shared" si="7"/>
        <v>525.2</v>
      </c>
      <c r="Y27" s="152"/>
    </row>
    <row r="28" spans="1:25" s="158" customFormat="1" ht="12.75" hidden="1">
      <c r="A28" s="9" t="s">
        <v>60</v>
      </c>
      <c r="B28" s="25" t="s">
        <v>42</v>
      </c>
      <c r="C28" s="10" t="s">
        <v>55</v>
      </c>
      <c r="D28" s="49">
        <v>13.7</v>
      </c>
      <c r="E28" s="21">
        <v>14</v>
      </c>
      <c r="F28" s="21">
        <v>17</v>
      </c>
      <c r="G28" s="21">
        <v>14.9</v>
      </c>
      <c r="H28" s="21">
        <v>20</v>
      </c>
      <c r="I28" s="21">
        <v>20</v>
      </c>
      <c r="J28" s="21"/>
      <c r="K28" s="21">
        <v>25</v>
      </c>
      <c r="L28" s="62">
        <f t="shared" si="4"/>
        <v>125</v>
      </c>
      <c r="M28" s="62">
        <f t="shared" si="5"/>
        <v>125</v>
      </c>
      <c r="N28" s="21">
        <v>25</v>
      </c>
      <c r="O28" s="104">
        <f t="shared" si="2"/>
        <v>100</v>
      </c>
      <c r="P28" s="21">
        <v>27</v>
      </c>
      <c r="Q28" s="21">
        <v>28</v>
      </c>
      <c r="R28" s="21">
        <v>29</v>
      </c>
      <c r="S28" s="21">
        <v>30</v>
      </c>
      <c r="T28" s="156">
        <f t="shared" si="6"/>
        <v>90.9</v>
      </c>
      <c r="U28" s="156">
        <f t="shared" si="7"/>
        <v>139</v>
      </c>
      <c r="Y28" s="152"/>
    </row>
    <row r="29" spans="1:25" s="158" customFormat="1" ht="12.75" hidden="1">
      <c r="A29" s="9" t="s">
        <v>60</v>
      </c>
      <c r="B29" s="25" t="s">
        <v>61</v>
      </c>
      <c r="C29" s="10" t="s">
        <v>62</v>
      </c>
      <c r="D29" s="49">
        <f>D27*D28/10</f>
        <v>264.273</v>
      </c>
      <c r="E29" s="21">
        <f aca="true" t="shared" si="20" ref="E29:S29">E27*E28/10</f>
        <v>287.7</v>
      </c>
      <c r="F29" s="21">
        <v>75</v>
      </c>
      <c r="G29" s="21">
        <f t="shared" si="20"/>
        <v>293.08299999999997</v>
      </c>
      <c r="H29" s="21">
        <f t="shared" si="20"/>
        <v>187.6</v>
      </c>
      <c r="I29" s="21">
        <f>I27*I28/10</f>
        <v>300</v>
      </c>
      <c r="J29" s="21"/>
      <c r="K29" s="21">
        <f t="shared" si="20"/>
        <v>333.75</v>
      </c>
      <c r="L29" s="62">
        <f t="shared" si="4"/>
        <v>177.90511727078894</v>
      </c>
      <c r="M29" s="62">
        <f t="shared" si="5"/>
        <v>111.25</v>
      </c>
      <c r="N29" s="21">
        <f>N27*N28/10</f>
        <v>375</v>
      </c>
      <c r="O29" s="104">
        <f t="shared" si="2"/>
        <v>112.35955056179776</v>
      </c>
      <c r="P29" s="21">
        <f t="shared" si="20"/>
        <v>253.26</v>
      </c>
      <c r="Q29" s="21">
        <f t="shared" si="20"/>
        <v>262.64</v>
      </c>
      <c r="R29" s="21">
        <f t="shared" si="20"/>
        <v>272.02</v>
      </c>
      <c r="S29" s="21">
        <f t="shared" si="20"/>
        <v>281.4</v>
      </c>
      <c r="T29" s="156">
        <f t="shared" si="6"/>
        <v>1177.1329999999998</v>
      </c>
      <c r="U29" s="156">
        <f t="shared" si="7"/>
        <v>1444.32</v>
      </c>
      <c r="Y29" s="152"/>
    </row>
    <row r="30" spans="1:25" s="158" customFormat="1" ht="12.75">
      <c r="A30" s="5" t="s">
        <v>11</v>
      </c>
      <c r="B30" s="8" t="s">
        <v>53</v>
      </c>
      <c r="C30" s="5" t="s">
        <v>0</v>
      </c>
      <c r="D30" s="49">
        <v>45</v>
      </c>
      <c r="E30" s="21">
        <v>57.4</v>
      </c>
      <c r="F30" s="21">
        <v>75</v>
      </c>
      <c r="G30" s="21">
        <v>35.2</v>
      </c>
      <c r="H30" s="21">
        <v>61.2</v>
      </c>
      <c r="I30" s="21">
        <v>70.3</v>
      </c>
      <c r="J30" s="21">
        <v>7</v>
      </c>
      <c r="K30" s="21">
        <v>30</v>
      </c>
      <c r="L30" s="62">
        <f t="shared" si="4"/>
        <v>49.01960784313725</v>
      </c>
      <c r="M30" s="62">
        <f t="shared" si="5"/>
        <v>42.67425320056899</v>
      </c>
      <c r="N30" s="21">
        <v>70.3</v>
      </c>
      <c r="O30" s="104">
        <f t="shared" si="2"/>
        <v>234.33333333333331</v>
      </c>
      <c r="P30" s="21">
        <v>65</v>
      </c>
      <c r="Q30" s="21">
        <v>70</v>
      </c>
      <c r="R30" s="21">
        <v>70</v>
      </c>
      <c r="S30" s="21">
        <v>70</v>
      </c>
      <c r="T30" s="156">
        <f t="shared" si="6"/>
        <v>258.8</v>
      </c>
      <c r="U30" s="156">
        <f t="shared" si="7"/>
        <v>345.3</v>
      </c>
      <c r="Y30" s="152"/>
    </row>
    <row r="31" spans="1:25" s="158" customFormat="1" ht="12.75" hidden="1">
      <c r="A31" s="9" t="s">
        <v>60</v>
      </c>
      <c r="B31" s="25" t="s">
        <v>42</v>
      </c>
      <c r="C31" s="10" t="s">
        <v>55</v>
      </c>
      <c r="D31" s="49">
        <v>54.18</v>
      </c>
      <c r="E31" s="21">
        <v>40</v>
      </c>
      <c r="F31" s="21">
        <v>52.2</v>
      </c>
      <c r="G31" s="21">
        <v>31.11</v>
      </c>
      <c r="H31" s="21">
        <v>55</v>
      </c>
      <c r="I31" s="21">
        <v>58.77</v>
      </c>
      <c r="J31" s="21"/>
      <c r="K31" s="21">
        <v>55</v>
      </c>
      <c r="L31" s="62">
        <f t="shared" si="4"/>
        <v>100</v>
      </c>
      <c r="M31" s="62">
        <f t="shared" si="5"/>
        <v>93.58516249787307</v>
      </c>
      <c r="N31" s="21">
        <v>58.77</v>
      </c>
      <c r="O31" s="104">
        <f t="shared" si="2"/>
        <v>106.85454545454547</v>
      </c>
      <c r="P31" s="21">
        <v>60</v>
      </c>
      <c r="Q31" s="21">
        <v>60</v>
      </c>
      <c r="R31" s="21">
        <v>60</v>
      </c>
      <c r="S31" s="21">
        <v>60</v>
      </c>
      <c r="T31" s="156">
        <f t="shared" si="6"/>
        <v>233.31</v>
      </c>
      <c r="U31" s="156">
        <f t="shared" si="7"/>
        <v>298.77</v>
      </c>
      <c r="Y31" s="152"/>
    </row>
    <row r="32" spans="1:25" s="157" customFormat="1" ht="12.75" hidden="1">
      <c r="A32" s="57" t="s">
        <v>60</v>
      </c>
      <c r="B32" s="58" t="s">
        <v>61</v>
      </c>
      <c r="C32" s="59" t="s">
        <v>30</v>
      </c>
      <c r="D32" s="11">
        <f aca="true" t="shared" si="21" ref="D32:S32">D30*D31/10</f>
        <v>243.81</v>
      </c>
      <c r="E32" s="11">
        <f t="shared" si="21"/>
        <v>229.6</v>
      </c>
      <c r="F32" s="11">
        <f t="shared" si="21"/>
        <v>391.5</v>
      </c>
      <c r="G32" s="11">
        <f t="shared" si="21"/>
        <v>109.50720000000001</v>
      </c>
      <c r="H32" s="11">
        <f t="shared" si="21"/>
        <v>336.6</v>
      </c>
      <c r="I32" s="11">
        <f t="shared" si="21"/>
        <v>413.1531</v>
      </c>
      <c r="J32" s="11"/>
      <c r="K32" s="11">
        <f t="shared" si="21"/>
        <v>165</v>
      </c>
      <c r="L32" s="62">
        <f t="shared" si="4"/>
        <v>49.01960784313725</v>
      </c>
      <c r="M32" s="62">
        <f t="shared" si="5"/>
        <v>39.93676920250629</v>
      </c>
      <c r="N32" s="11">
        <f>N30*N31/10</f>
        <v>413.1531</v>
      </c>
      <c r="O32" s="104">
        <f t="shared" si="2"/>
        <v>250.39581818181819</v>
      </c>
      <c r="P32" s="11">
        <f t="shared" si="21"/>
        <v>390</v>
      </c>
      <c r="Q32" s="11">
        <f t="shared" si="21"/>
        <v>420</v>
      </c>
      <c r="R32" s="11">
        <f t="shared" si="21"/>
        <v>420</v>
      </c>
      <c r="S32" s="11">
        <f t="shared" si="21"/>
        <v>420</v>
      </c>
      <c r="T32" s="156">
        <f t="shared" si="6"/>
        <v>1232.2072</v>
      </c>
      <c r="U32" s="156">
        <f t="shared" si="7"/>
        <v>2063.1531</v>
      </c>
      <c r="Y32" s="152"/>
    </row>
    <row r="33" spans="1:25" s="158" customFormat="1" ht="12.75" hidden="1">
      <c r="A33" s="9" t="s">
        <v>60</v>
      </c>
      <c r="B33" s="25" t="s">
        <v>96</v>
      </c>
      <c r="C33" s="5" t="s">
        <v>76</v>
      </c>
      <c r="D33" s="49">
        <f>D32*4.373/1000</f>
        <v>1.0661811300000001</v>
      </c>
      <c r="E33" s="49">
        <f aca="true" t="shared" si="22" ref="E33:S33">E32*4.373/1000</f>
        <v>1.0040408</v>
      </c>
      <c r="F33" s="49">
        <f t="shared" si="22"/>
        <v>1.7120295</v>
      </c>
      <c r="G33" s="49">
        <f t="shared" si="22"/>
        <v>0.4788749856000001</v>
      </c>
      <c r="H33" s="49">
        <f t="shared" si="22"/>
        <v>1.4719518000000003</v>
      </c>
      <c r="I33" s="49">
        <f t="shared" si="22"/>
        <v>1.8067185063000002</v>
      </c>
      <c r="J33" s="49">
        <f t="shared" si="22"/>
        <v>0</v>
      </c>
      <c r="K33" s="49">
        <f t="shared" si="22"/>
        <v>0.7215450000000001</v>
      </c>
      <c r="L33" s="62">
        <f t="shared" si="4"/>
        <v>49.01960784313725</v>
      </c>
      <c r="M33" s="62">
        <f t="shared" si="5"/>
        <v>39.93676920250629</v>
      </c>
      <c r="N33" s="49">
        <f t="shared" si="22"/>
        <v>1.8067185063000002</v>
      </c>
      <c r="O33" s="104">
        <f t="shared" si="22"/>
        <v>1.0949809129090908</v>
      </c>
      <c r="P33" s="49">
        <f t="shared" si="22"/>
        <v>1.70547</v>
      </c>
      <c r="Q33" s="49">
        <f t="shared" si="22"/>
        <v>1.8366600000000002</v>
      </c>
      <c r="R33" s="49">
        <f t="shared" si="22"/>
        <v>1.8366600000000002</v>
      </c>
      <c r="S33" s="49">
        <f t="shared" si="22"/>
        <v>1.8366600000000002</v>
      </c>
      <c r="T33" s="156">
        <f t="shared" si="6"/>
        <v>5.3884420856</v>
      </c>
      <c r="U33" s="156">
        <f t="shared" si="7"/>
        <v>9.022168506300002</v>
      </c>
      <c r="Y33" s="152"/>
    </row>
    <row r="34" spans="1:25" s="42" customFormat="1" ht="12.75">
      <c r="A34" s="12" t="s">
        <v>14</v>
      </c>
      <c r="B34" s="26" t="s">
        <v>17</v>
      </c>
      <c r="C34" s="12" t="s">
        <v>0</v>
      </c>
      <c r="D34" s="53">
        <f>D36+D40</f>
        <v>1781.1000000000001</v>
      </c>
      <c r="E34" s="24">
        <f aca="true" t="shared" si="23" ref="E34:S34">E36+E40</f>
        <v>1545.06</v>
      </c>
      <c r="F34" s="24">
        <f t="shared" si="23"/>
        <v>1453</v>
      </c>
      <c r="G34" s="24">
        <f t="shared" si="23"/>
        <v>1800</v>
      </c>
      <c r="H34" s="24">
        <f t="shared" si="23"/>
        <v>1506.5</v>
      </c>
      <c r="I34" s="24">
        <f>I36+I40</f>
        <v>2200</v>
      </c>
      <c r="J34" s="24">
        <f>J36+J40</f>
        <v>1045.5</v>
      </c>
      <c r="K34" s="24">
        <f t="shared" si="23"/>
        <v>1367.5</v>
      </c>
      <c r="L34" s="62">
        <f t="shared" si="4"/>
        <v>90.7733156322602</v>
      </c>
      <c r="M34" s="62">
        <f t="shared" si="5"/>
        <v>62.15909090909091</v>
      </c>
      <c r="N34" s="24">
        <f>N36+N40</f>
        <v>2204.5</v>
      </c>
      <c r="O34" s="194">
        <f t="shared" si="2"/>
        <v>161.20658135283364</v>
      </c>
      <c r="P34" s="24">
        <f t="shared" si="23"/>
        <v>1805</v>
      </c>
      <c r="Q34" s="24">
        <f t="shared" si="23"/>
        <v>1805</v>
      </c>
      <c r="R34" s="24">
        <f t="shared" si="23"/>
        <v>1804</v>
      </c>
      <c r="S34" s="24">
        <f t="shared" si="23"/>
        <v>1805</v>
      </c>
      <c r="T34" s="20">
        <f>SUM(E34:H34)+K34</f>
        <v>7672.0599999999995</v>
      </c>
      <c r="U34" s="20">
        <f t="shared" si="7"/>
        <v>9423.5</v>
      </c>
      <c r="Y34" s="152"/>
    </row>
    <row r="35" spans="1:25" s="158" customFormat="1" ht="12.75">
      <c r="A35" s="40"/>
      <c r="B35" s="32" t="s">
        <v>79</v>
      </c>
      <c r="C35" s="40" t="s">
        <v>77</v>
      </c>
      <c r="D35" s="49">
        <f>D39</f>
        <v>34.6474095</v>
      </c>
      <c r="E35" s="21">
        <f>E39</f>
        <v>29.987158799999992</v>
      </c>
      <c r="F35" s="21">
        <f aca="true" t="shared" si="24" ref="F35:S35">F39</f>
        <v>31.772608999999996</v>
      </c>
      <c r="G35" s="21">
        <f t="shared" si="24"/>
        <v>44.35739999999999</v>
      </c>
      <c r="H35" s="21">
        <f t="shared" si="24"/>
        <v>37.026107499999995</v>
      </c>
      <c r="I35" s="21">
        <f t="shared" si="24"/>
        <v>51.3612</v>
      </c>
      <c r="J35" s="21"/>
      <c r="K35" s="21">
        <f t="shared" si="24"/>
        <v>33.588409</v>
      </c>
      <c r="L35" s="62">
        <f t="shared" si="4"/>
        <v>90.7154742096506</v>
      </c>
      <c r="M35" s="62">
        <f t="shared" si="5"/>
        <v>65.39646464646465</v>
      </c>
      <c r="N35" s="21">
        <f>N39</f>
        <v>54.2146</v>
      </c>
      <c r="O35" s="104">
        <f t="shared" si="2"/>
        <v>161.40865737344095</v>
      </c>
      <c r="P35" s="21">
        <f t="shared" si="24"/>
        <v>53.6958</v>
      </c>
      <c r="Q35" s="21">
        <f t="shared" si="24"/>
        <v>54.863099999999996</v>
      </c>
      <c r="R35" s="21">
        <f t="shared" si="24"/>
        <v>56.03039999999999</v>
      </c>
      <c r="S35" s="21">
        <f t="shared" si="24"/>
        <v>58.365</v>
      </c>
      <c r="T35" s="156">
        <f t="shared" si="6"/>
        <v>176.73168429999998</v>
      </c>
      <c r="U35" s="156">
        <f t="shared" si="7"/>
        <v>277.1689</v>
      </c>
      <c r="Y35" s="152"/>
    </row>
    <row r="36" spans="1:25" s="158" customFormat="1" ht="12.75">
      <c r="A36" s="5" t="s">
        <v>10</v>
      </c>
      <c r="B36" s="27" t="s">
        <v>49</v>
      </c>
      <c r="C36" s="5" t="s">
        <v>0</v>
      </c>
      <c r="D36" s="49">
        <v>1780.9</v>
      </c>
      <c r="E36" s="21">
        <v>1541.36</v>
      </c>
      <c r="F36" s="21">
        <v>1441</v>
      </c>
      <c r="G36" s="21">
        <v>1800</v>
      </c>
      <c r="H36" s="21">
        <v>1502.5</v>
      </c>
      <c r="I36" s="21">
        <v>2200</v>
      </c>
      <c r="J36" s="21">
        <v>1041</v>
      </c>
      <c r="K36" s="21">
        <v>1363</v>
      </c>
      <c r="L36" s="62">
        <f t="shared" si="4"/>
        <v>90.71547420965058</v>
      </c>
      <c r="M36" s="62">
        <f t="shared" si="5"/>
        <v>61.95454545454545</v>
      </c>
      <c r="N36" s="21">
        <v>2200</v>
      </c>
      <c r="O36" s="104">
        <f t="shared" si="2"/>
        <v>161.40865737344095</v>
      </c>
      <c r="P36" s="21">
        <v>1800</v>
      </c>
      <c r="Q36" s="21">
        <v>1800</v>
      </c>
      <c r="R36" s="21">
        <v>1800</v>
      </c>
      <c r="S36" s="21">
        <v>1800</v>
      </c>
      <c r="T36" s="156">
        <f t="shared" si="6"/>
        <v>7647.86</v>
      </c>
      <c r="U36" s="156">
        <f t="shared" si="7"/>
        <v>9400</v>
      </c>
      <c r="Y36" s="152"/>
    </row>
    <row r="37" spans="1:25" s="160" customFormat="1" ht="12.75">
      <c r="A37" s="9" t="s">
        <v>3</v>
      </c>
      <c r="B37" s="28" t="s">
        <v>56</v>
      </c>
      <c r="C37" s="10" t="s">
        <v>55</v>
      </c>
      <c r="D37" s="49">
        <v>150</v>
      </c>
      <c r="E37" s="21">
        <v>150</v>
      </c>
      <c r="F37" s="21">
        <v>170</v>
      </c>
      <c r="G37" s="21">
        <v>190</v>
      </c>
      <c r="H37" s="21">
        <v>190</v>
      </c>
      <c r="I37" s="21">
        <v>180</v>
      </c>
      <c r="J37" s="21"/>
      <c r="K37" s="21">
        <v>190</v>
      </c>
      <c r="L37" s="62">
        <f t="shared" si="4"/>
        <v>100</v>
      </c>
      <c r="M37" s="62">
        <f t="shared" si="5"/>
        <v>105.55555555555556</v>
      </c>
      <c r="N37" s="21">
        <v>190</v>
      </c>
      <c r="O37" s="104">
        <f t="shared" si="2"/>
        <v>100</v>
      </c>
      <c r="P37" s="21">
        <v>230</v>
      </c>
      <c r="Q37" s="21">
        <v>235</v>
      </c>
      <c r="R37" s="21">
        <v>240</v>
      </c>
      <c r="S37" s="21">
        <v>250</v>
      </c>
      <c r="T37" s="156">
        <f t="shared" si="6"/>
        <v>890</v>
      </c>
      <c r="U37" s="156">
        <f t="shared" si="7"/>
        <v>1145</v>
      </c>
      <c r="Y37" s="152"/>
    </row>
    <row r="38" spans="1:25" s="162" customFormat="1" ht="12.75">
      <c r="A38" s="15" t="s">
        <v>3</v>
      </c>
      <c r="B38" s="29" t="s">
        <v>57</v>
      </c>
      <c r="C38" s="16" t="s">
        <v>30</v>
      </c>
      <c r="D38" s="49">
        <f>D36*D37/10</f>
        <v>26713.5</v>
      </c>
      <c r="E38" s="21">
        <f aca="true" t="shared" si="25" ref="E38:S38">E36*E37/10</f>
        <v>23120.399999999998</v>
      </c>
      <c r="F38" s="21">
        <f t="shared" si="25"/>
        <v>24497</v>
      </c>
      <c r="G38" s="21">
        <f t="shared" si="25"/>
        <v>34200</v>
      </c>
      <c r="H38" s="21">
        <f t="shared" si="25"/>
        <v>28547.5</v>
      </c>
      <c r="I38" s="21">
        <f t="shared" si="25"/>
        <v>39600</v>
      </c>
      <c r="J38" s="21"/>
      <c r="K38" s="21">
        <f t="shared" si="25"/>
        <v>25897</v>
      </c>
      <c r="L38" s="62">
        <f t="shared" si="4"/>
        <v>90.71547420965058</v>
      </c>
      <c r="M38" s="62">
        <f t="shared" si="5"/>
        <v>65.39646464646465</v>
      </c>
      <c r="N38" s="21">
        <f>N36*N37/10</f>
        <v>41800</v>
      </c>
      <c r="O38" s="104">
        <f t="shared" si="2"/>
        <v>161.40865737344095</v>
      </c>
      <c r="P38" s="21">
        <f t="shared" si="25"/>
        <v>41400</v>
      </c>
      <c r="Q38" s="21">
        <f t="shared" si="25"/>
        <v>42300</v>
      </c>
      <c r="R38" s="21">
        <f t="shared" si="25"/>
        <v>43200</v>
      </c>
      <c r="S38" s="21">
        <f t="shared" si="25"/>
        <v>45000</v>
      </c>
      <c r="T38" s="156">
        <f t="shared" si="6"/>
        <v>136261.9</v>
      </c>
      <c r="U38" s="156">
        <f t="shared" si="7"/>
        <v>213700</v>
      </c>
      <c r="Y38" s="152"/>
    </row>
    <row r="39" spans="1:25" s="162" customFormat="1" ht="12.75">
      <c r="A39" s="15"/>
      <c r="B39" s="32" t="s">
        <v>79</v>
      </c>
      <c r="C39" s="40" t="s">
        <v>77</v>
      </c>
      <c r="D39" s="49">
        <f>D38*1.297/1000</f>
        <v>34.6474095</v>
      </c>
      <c r="E39" s="49">
        <f aca="true" t="shared" si="26" ref="E39:S39">E38*1.297/1000</f>
        <v>29.987158799999992</v>
      </c>
      <c r="F39" s="49">
        <f t="shared" si="26"/>
        <v>31.772608999999996</v>
      </c>
      <c r="G39" s="49">
        <f t="shared" si="26"/>
        <v>44.35739999999999</v>
      </c>
      <c r="H39" s="49">
        <f t="shared" si="26"/>
        <v>37.026107499999995</v>
      </c>
      <c r="I39" s="49">
        <f t="shared" si="26"/>
        <v>51.3612</v>
      </c>
      <c r="J39" s="49">
        <f t="shared" si="26"/>
        <v>0</v>
      </c>
      <c r="K39" s="49">
        <f t="shared" si="26"/>
        <v>33.588409</v>
      </c>
      <c r="L39" s="62">
        <f t="shared" si="4"/>
        <v>90.7154742096506</v>
      </c>
      <c r="M39" s="62">
        <f t="shared" si="5"/>
        <v>65.39646464646465</v>
      </c>
      <c r="N39" s="49">
        <f t="shared" si="26"/>
        <v>54.2146</v>
      </c>
      <c r="O39" s="104">
        <f t="shared" si="26"/>
        <v>0.20934702861335291</v>
      </c>
      <c r="P39" s="49">
        <f t="shared" si="26"/>
        <v>53.6958</v>
      </c>
      <c r="Q39" s="49">
        <f t="shared" si="26"/>
        <v>54.863099999999996</v>
      </c>
      <c r="R39" s="49">
        <f t="shared" si="26"/>
        <v>56.03039999999999</v>
      </c>
      <c r="S39" s="49">
        <f t="shared" si="26"/>
        <v>58.365</v>
      </c>
      <c r="T39" s="156">
        <f t="shared" si="6"/>
        <v>176.73168429999998</v>
      </c>
      <c r="U39" s="156">
        <f t="shared" si="7"/>
        <v>277.1689</v>
      </c>
      <c r="Y39" s="152"/>
    </row>
    <row r="40" spans="1:25" s="164" customFormat="1" ht="12.75">
      <c r="A40" s="33" t="s">
        <v>11</v>
      </c>
      <c r="B40" s="13" t="s">
        <v>70</v>
      </c>
      <c r="C40" s="33" t="s">
        <v>0</v>
      </c>
      <c r="D40" s="163">
        <v>0.2</v>
      </c>
      <c r="E40" s="34">
        <v>3.7</v>
      </c>
      <c r="F40" s="34">
        <v>12</v>
      </c>
      <c r="G40" s="34"/>
      <c r="H40" s="34">
        <v>4</v>
      </c>
      <c r="I40" s="34"/>
      <c r="J40" s="34">
        <v>4.5</v>
      </c>
      <c r="K40" s="34">
        <v>4.5</v>
      </c>
      <c r="L40" s="62">
        <f t="shared" si="4"/>
        <v>112.5</v>
      </c>
      <c r="M40" s="62"/>
      <c r="N40" s="34">
        <v>4.5</v>
      </c>
      <c r="O40" s="104">
        <f t="shared" si="2"/>
        <v>100</v>
      </c>
      <c r="P40" s="34">
        <v>5</v>
      </c>
      <c r="Q40" s="34">
        <v>5</v>
      </c>
      <c r="R40" s="34">
        <v>4</v>
      </c>
      <c r="S40" s="34">
        <v>5</v>
      </c>
      <c r="T40" s="156">
        <f t="shared" si="6"/>
        <v>24.2</v>
      </c>
      <c r="U40" s="156">
        <f t="shared" si="7"/>
        <v>23.5</v>
      </c>
      <c r="Y40" s="152"/>
    </row>
    <row r="41" spans="1:25" s="160" customFormat="1" ht="12.75">
      <c r="A41" s="9" t="s">
        <v>3</v>
      </c>
      <c r="B41" s="28" t="s">
        <v>42</v>
      </c>
      <c r="C41" s="10" t="s">
        <v>55</v>
      </c>
      <c r="D41" s="49">
        <v>60</v>
      </c>
      <c r="E41" s="21">
        <v>31</v>
      </c>
      <c r="F41" s="21">
        <v>31</v>
      </c>
      <c r="G41" s="21"/>
      <c r="H41" s="21">
        <v>31</v>
      </c>
      <c r="I41" s="21"/>
      <c r="J41" s="21">
        <v>31</v>
      </c>
      <c r="K41" s="21">
        <v>31</v>
      </c>
      <c r="L41" s="62">
        <f t="shared" si="4"/>
        <v>100</v>
      </c>
      <c r="M41" s="62"/>
      <c r="N41" s="21">
        <v>31</v>
      </c>
      <c r="O41" s="104">
        <f t="shared" si="2"/>
        <v>100</v>
      </c>
      <c r="P41" s="21">
        <v>72</v>
      </c>
      <c r="Q41" s="21">
        <v>73</v>
      </c>
      <c r="R41" s="21">
        <v>74</v>
      </c>
      <c r="S41" s="21">
        <v>75</v>
      </c>
      <c r="T41" s="156">
        <f t="shared" si="6"/>
        <v>124</v>
      </c>
      <c r="U41" s="156">
        <f t="shared" si="7"/>
        <v>325</v>
      </c>
      <c r="Y41" s="152"/>
    </row>
    <row r="42" spans="1:25" s="160" customFormat="1" ht="12.75">
      <c r="A42" s="9" t="s">
        <v>3</v>
      </c>
      <c r="B42" s="28" t="s">
        <v>57</v>
      </c>
      <c r="C42" s="10" t="s">
        <v>30</v>
      </c>
      <c r="D42" s="49">
        <f>D40*D41/10</f>
        <v>1.2</v>
      </c>
      <c r="E42" s="21">
        <f aca="true" t="shared" si="27" ref="E42:S42">E40*E41/10</f>
        <v>11.47</v>
      </c>
      <c r="F42" s="21">
        <f t="shared" si="27"/>
        <v>37.2</v>
      </c>
      <c r="G42" s="21">
        <f t="shared" si="27"/>
        <v>0</v>
      </c>
      <c r="H42" s="21">
        <f t="shared" si="27"/>
        <v>12.4</v>
      </c>
      <c r="I42" s="21"/>
      <c r="J42" s="21">
        <f>J40*J41/10</f>
        <v>13.95</v>
      </c>
      <c r="K42" s="21">
        <f t="shared" si="27"/>
        <v>13.95</v>
      </c>
      <c r="L42" s="62">
        <f t="shared" si="4"/>
        <v>112.5</v>
      </c>
      <c r="M42" s="62"/>
      <c r="N42" s="21">
        <f>N40*N41/10</f>
        <v>13.95</v>
      </c>
      <c r="O42" s="104">
        <f t="shared" si="2"/>
        <v>100</v>
      </c>
      <c r="P42" s="21">
        <f t="shared" si="27"/>
        <v>36</v>
      </c>
      <c r="Q42" s="21">
        <f t="shared" si="27"/>
        <v>36.5</v>
      </c>
      <c r="R42" s="21">
        <f t="shared" si="27"/>
        <v>29.6</v>
      </c>
      <c r="S42" s="21">
        <f t="shared" si="27"/>
        <v>37.5</v>
      </c>
      <c r="T42" s="156">
        <f t="shared" si="6"/>
        <v>75.02</v>
      </c>
      <c r="U42" s="156">
        <f t="shared" si="7"/>
        <v>153.54999999999998</v>
      </c>
      <c r="Y42" s="152"/>
    </row>
    <row r="43" spans="1:25" s="165" customFormat="1" ht="12.75">
      <c r="A43" s="4" t="s">
        <v>51</v>
      </c>
      <c r="B43" s="23" t="s">
        <v>66</v>
      </c>
      <c r="C43" s="2" t="s">
        <v>0</v>
      </c>
      <c r="D43" s="53">
        <f>D44+D47+D50</f>
        <v>11.75</v>
      </c>
      <c r="E43" s="24">
        <f aca="true" t="shared" si="28" ref="E43:R43">E44+E47+E50</f>
        <v>59.269999999999996</v>
      </c>
      <c r="F43" s="24">
        <f t="shared" si="28"/>
        <v>26.82</v>
      </c>
      <c r="G43" s="24">
        <f t="shared" si="28"/>
        <v>33</v>
      </c>
      <c r="H43" s="24">
        <f>H44+H47+H50</f>
        <v>18.2</v>
      </c>
      <c r="I43" s="24">
        <f>I44+I47+I50</f>
        <v>50</v>
      </c>
      <c r="J43" s="24">
        <f>J44+J47+J50</f>
        <v>5.2</v>
      </c>
      <c r="K43" s="24">
        <f t="shared" si="28"/>
        <v>42.3</v>
      </c>
      <c r="L43" s="62">
        <f t="shared" si="4"/>
        <v>232.4175824175824</v>
      </c>
      <c r="M43" s="62">
        <f t="shared" si="5"/>
        <v>84.6</v>
      </c>
      <c r="N43" s="24">
        <f>N44+N47+N50</f>
        <v>71</v>
      </c>
      <c r="O43" s="194">
        <f t="shared" si="2"/>
        <v>167.8486997635934</v>
      </c>
      <c r="P43" s="24">
        <f t="shared" si="28"/>
        <v>27</v>
      </c>
      <c r="Q43" s="24">
        <f t="shared" si="28"/>
        <v>28</v>
      </c>
      <c r="R43" s="24">
        <f t="shared" si="28"/>
        <v>29</v>
      </c>
      <c r="S43" s="24">
        <f>S44+S47+S50</f>
        <v>30</v>
      </c>
      <c r="T43" s="156">
        <f t="shared" si="6"/>
        <v>179.58999999999997</v>
      </c>
      <c r="U43" s="156">
        <f t="shared" si="7"/>
        <v>185</v>
      </c>
      <c r="Y43" s="152"/>
    </row>
    <row r="44" spans="1:25" s="41" customFormat="1" ht="12.75">
      <c r="A44" s="5" t="s">
        <v>10</v>
      </c>
      <c r="B44" s="27" t="s">
        <v>40</v>
      </c>
      <c r="C44" s="5" t="s">
        <v>0</v>
      </c>
      <c r="D44" s="49">
        <v>6.3</v>
      </c>
      <c r="E44" s="21">
        <v>9.47</v>
      </c>
      <c r="F44" s="21">
        <v>7.42</v>
      </c>
      <c r="G44" s="21">
        <v>9</v>
      </c>
      <c r="H44" s="21">
        <v>5.2</v>
      </c>
      <c r="I44" s="21">
        <v>10</v>
      </c>
      <c r="J44" s="21">
        <v>2</v>
      </c>
      <c r="K44" s="21">
        <v>4.2</v>
      </c>
      <c r="L44" s="62">
        <f t="shared" si="4"/>
        <v>80.76923076923077</v>
      </c>
      <c r="M44" s="62">
        <f t="shared" si="5"/>
        <v>42.00000000000001</v>
      </c>
      <c r="N44" s="21">
        <v>10</v>
      </c>
      <c r="O44" s="104">
        <f t="shared" si="2"/>
        <v>238.0952380952381</v>
      </c>
      <c r="P44" s="21">
        <v>12</v>
      </c>
      <c r="Q44" s="21">
        <v>13</v>
      </c>
      <c r="R44" s="21">
        <v>14</v>
      </c>
      <c r="S44" s="21">
        <v>15</v>
      </c>
      <c r="T44" s="156">
        <f t="shared" si="6"/>
        <v>35.29</v>
      </c>
      <c r="U44" s="156">
        <f t="shared" si="7"/>
        <v>64</v>
      </c>
      <c r="Y44" s="152"/>
    </row>
    <row r="45" spans="1:25" s="160" customFormat="1" ht="12.75">
      <c r="A45" s="9" t="s">
        <v>3</v>
      </c>
      <c r="B45" s="28" t="s">
        <v>42</v>
      </c>
      <c r="C45" s="10" t="s">
        <v>55</v>
      </c>
      <c r="D45" s="49">
        <v>130</v>
      </c>
      <c r="E45" s="21">
        <v>46</v>
      </c>
      <c r="F45" s="21">
        <v>46</v>
      </c>
      <c r="G45" s="21">
        <v>46</v>
      </c>
      <c r="H45" s="21">
        <v>42</v>
      </c>
      <c r="I45" s="21">
        <v>42</v>
      </c>
      <c r="J45" s="21">
        <v>100</v>
      </c>
      <c r="K45" s="21">
        <v>140</v>
      </c>
      <c r="L45" s="62">
        <f t="shared" si="4"/>
        <v>333.33333333333337</v>
      </c>
      <c r="M45" s="62">
        <f t="shared" si="5"/>
        <v>333.33333333333337</v>
      </c>
      <c r="N45" s="21">
        <v>140</v>
      </c>
      <c r="O45" s="104">
        <f t="shared" si="2"/>
        <v>100</v>
      </c>
      <c r="P45" s="21">
        <v>150</v>
      </c>
      <c r="Q45" s="21">
        <v>155</v>
      </c>
      <c r="R45" s="21">
        <v>160</v>
      </c>
      <c r="S45" s="21">
        <v>150</v>
      </c>
      <c r="T45" s="156">
        <f t="shared" si="6"/>
        <v>320</v>
      </c>
      <c r="U45" s="156">
        <f t="shared" si="7"/>
        <v>755</v>
      </c>
      <c r="Y45" s="152"/>
    </row>
    <row r="46" spans="1:25" s="160" customFormat="1" ht="12.75">
      <c r="A46" s="9" t="s">
        <v>3</v>
      </c>
      <c r="B46" s="28" t="s">
        <v>57</v>
      </c>
      <c r="C46" s="10" t="s">
        <v>30</v>
      </c>
      <c r="D46" s="49">
        <f>D44*D45/10</f>
        <v>81.9</v>
      </c>
      <c r="E46" s="21">
        <f>E44*E45/10</f>
        <v>43.562</v>
      </c>
      <c r="F46" s="21">
        <f>F44*F45/10</f>
        <v>34.132</v>
      </c>
      <c r="G46" s="21">
        <v>9</v>
      </c>
      <c r="H46" s="21">
        <v>28.6</v>
      </c>
      <c r="I46" s="21">
        <f>I44*I45/10</f>
        <v>42</v>
      </c>
      <c r="J46" s="21">
        <f>J44*J45/10</f>
        <v>20</v>
      </c>
      <c r="K46" s="21">
        <f aca="true" t="shared" si="29" ref="K46:S46">K44*K45/10</f>
        <v>58.8</v>
      </c>
      <c r="L46" s="62">
        <f t="shared" si="4"/>
        <v>205.59440559440557</v>
      </c>
      <c r="M46" s="62">
        <f t="shared" si="5"/>
        <v>140</v>
      </c>
      <c r="N46" s="21">
        <f>N44*N45/10</f>
        <v>140</v>
      </c>
      <c r="O46" s="104">
        <f t="shared" si="2"/>
        <v>238.0952380952381</v>
      </c>
      <c r="P46" s="21">
        <f t="shared" si="29"/>
        <v>180</v>
      </c>
      <c r="Q46" s="21">
        <f t="shared" si="29"/>
        <v>201.5</v>
      </c>
      <c r="R46" s="21">
        <f t="shared" si="29"/>
        <v>224</v>
      </c>
      <c r="S46" s="21">
        <f t="shared" si="29"/>
        <v>225</v>
      </c>
      <c r="T46" s="156">
        <f t="shared" si="6"/>
        <v>174.094</v>
      </c>
      <c r="U46" s="156">
        <f t="shared" si="7"/>
        <v>970.5</v>
      </c>
      <c r="Y46" s="152"/>
    </row>
    <row r="47" spans="1:25" s="166" customFormat="1" ht="12.75">
      <c r="A47" s="33" t="s">
        <v>11</v>
      </c>
      <c r="B47" s="13" t="s">
        <v>101</v>
      </c>
      <c r="C47" s="33" t="s">
        <v>0</v>
      </c>
      <c r="D47" s="163">
        <f>4.75</f>
        <v>4.75</v>
      </c>
      <c r="E47" s="34">
        <f>7.8</f>
        <v>7.8</v>
      </c>
      <c r="F47" s="34">
        <f>10.4</f>
        <v>10.4</v>
      </c>
      <c r="G47" s="34">
        <v>9</v>
      </c>
      <c r="H47" s="34">
        <v>6</v>
      </c>
      <c r="I47" s="34">
        <v>25</v>
      </c>
      <c r="J47" s="34"/>
      <c r="K47" s="34">
        <v>2.3</v>
      </c>
      <c r="L47" s="62">
        <f t="shared" si="4"/>
        <v>38.33333333333333</v>
      </c>
      <c r="M47" s="62">
        <f t="shared" si="5"/>
        <v>9.2</v>
      </c>
      <c r="N47" s="34">
        <v>25</v>
      </c>
      <c r="O47" s="104">
        <f t="shared" si="2"/>
        <v>1086.9565217391305</v>
      </c>
      <c r="P47" s="34">
        <v>10</v>
      </c>
      <c r="Q47" s="34">
        <v>10</v>
      </c>
      <c r="R47" s="34">
        <v>10</v>
      </c>
      <c r="S47" s="34">
        <v>10</v>
      </c>
      <c r="T47" s="156">
        <f t="shared" si="6"/>
        <v>35.5</v>
      </c>
      <c r="U47" s="156">
        <f t="shared" si="7"/>
        <v>65</v>
      </c>
      <c r="Y47" s="152"/>
    </row>
    <row r="48" spans="1:25" s="160" customFormat="1" ht="12.75">
      <c r="A48" s="9" t="s">
        <v>3</v>
      </c>
      <c r="B48" s="28" t="s">
        <v>42</v>
      </c>
      <c r="C48" s="10" t="s">
        <v>55</v>
      </c>
      <c r="D48" s="49">
        <v>13</v>
      </c>
      <c r="E48" s="21">
        <v>20</v>
      </c>
      <c r="F48" s="21">
        <v>34</v>
      </c>
      <c r="G48" s="21">
        <v>34</v>
      </c>
      <c r="H48" s="21">
        <v>25</v>
      </c>
      <c r="I48" s="21">
        <v>25</v>
      </c>
      <c r="J48" s="21"/>
      <c r="K48" s="21">
        <v>35</v>
      </c>
      <c r="L48" s="62">
        <f t="shared" si="4"/>
        <v>140</v>
      </c>
      <c r="M48" s="62">
        <f t="shared" si="5"/>
        <v>140</v>
      </c>
      <c r="N48" s="21">
        <v>35</v>
      </c>
      <c r="O48" s="104">
        <f t="shared" si="2"/>
        <v>100</v>
      </c>
      <c r="P48" s="21">
        <v>25</v>
      </c>
      <c r="Q48" s="21">
        <v>25</v>
      </c>
      <c r="R48" s="21">
        <v>25</v>
      </c>
      <c r="S48" s="21">
        <v>25</v>
      </c>
      <c r="T48" s="156">
        <f t="shared" si="6"/>
        <v>148</v>
      </c>
      <c r="U48" s="156">
        <f t="shared" si="7"/>
        <v>135</v>
      </c>
      <c r="Y48" s="152"/>
    </row>
    <row r="49" spans="1:25" s="160" customFormat="1" ht="12.75">
      <c r="A49" s="9" t="s">
        <v>3</v>
      </c>
      <c r="B49" s="28" t="s">
        <v>57</v>
      </c>
      <c r="C49" s="10" t="s">
        <v>30</v>
      </c>
      <c r="D49" s="49">
        <f>D47*D48/10</f>
        <v>6.175</v>
      </c>
      <c r="E49" s="21">
        <f aca="true" t="shared" si="30" ref="E49:S49">E47*E48/10</f>
        <v>15.6</v>
      </c>
      <c r="F49" s="21">
        <f t="shared" si="30"/>
        <v>35.36</v>
      </c>
      <c r="G49" s="21">
        <f t="shared" si="30"/>
        <v>30.6</v>
      </c>
      <c r="H49" s="21">
        <f t="shared" si="30"/>
        <v>15</v>
      </c>
      <c r="I49" s="21">
        <f t="shared" si="30"/>
        <v>62.5</v>
      </c>
      <c r="J49" s="21"/>
      <c r="K49" s="21">
        <f t="shared" si="30"/>
        <v>8.05</v>
      </c>
      <c r="L49" s="62">
        <f t="shared" si="4"/>
        <v>53.66666666666667</v>
      </c>
      <c r="M49" s="62">
        <f t="shared" si="5"/>
        <v>12.879999999999999</v>
      </c>
      <c r="N49" s="21">
        <f>N47*N48/10</f>
        <v>87.5</v>
      </c>
      <c r="O49" s="104">
        <f t="shared" si="2"/>
        <v>1086.9565217391303</v>
      </c>
      <c r="P49" s="21">
        <f t="shared" si="30"/>
        <v>25</v>
      </c>
      <c r="Q49" s="21">
        <f t="shared" si="30"/>
        <v>25</v>
      </c>
      <c r="R49" s="21">
        <f t="shared" si="30"/>
        <v>25</v>
      </c>
      <c r="S49" s="21">
        <f t="shared" si="30"/>
        <v>25</v>
      </c>
      <c r="T49" s="156">
        <f t="shared" si="6"/>
        <v>104.61</v>
      </c>
      <c r="U49" s="156">
        <f t="shared" si="7"/>
        <v>187.5</v>
      </c>
      <c r="Y49" s="152"/>
    </row>
    <row r="50" spans="1:25" s="41" customFormat="1" ht="12.75">
      <c r="A50" s="5" t="s">
        <v>12</v>
      </c>
      <c r="B50" s="27" t="s">
        <v>48</v>
      </c>
      <c r="C50" s="5" t="s">
        <v>0</v>
      </c>
      <c r="D50" s="49">
        <v>0.7</v>
      </c>
      <c r="E50" s="21">
        <v>42</v>
      </c>
      <c r="F50" s="21">
        <v>9</v>
      </c>
      <c r="G50" s="21">
        <v>15</v>
      </c>
      <c r="H50" s="21">
        <v>7</v>
      </c>
      <c r="I50" s="21">
        <v>15</v>
      </c>
      <c r="J50" s="21">
        <v>3.2</v>
      </c>
      <c r="K50" s="21">
        <v>35.8</v>
      </c>
      <c r="L50" s="62">
        <f t="shared" si="4"/>
        <v>511.4285714285714</v>
      </c>
      <c r="M50" s="62">
        <f t="shared" si="5"/>
        <v>238.66666666666663</v>
      </c>
      <c r="N50" s="21">
        <v>36</v>
      </c>
      <c r="O50" s="104">
        <f t="shared" si="2"/>
        <v>100.5586592178771</v>
      </c>
      <c r="P50" s="21">
        <v>5</v>
      </c>
      <c r="Q50" s="21">
        <v>5</v>
      </c>
      <c r="R50" s="21">
        <v>5</v>
      </c>
      <c r="S50" s="21">
        <v>5</v>
      </c>
      <c r="T50" s="156">
        <f t="shared" si="6"/>
        <v>108.8</v>
      </c>
      <c r="U50" s="156">
        <f t="shared" si="7"/>
        <v>56</v>
      </c>
      <c r="Y50" s="152"/>
    </row>
    <row r="51" spans="1:25" s="160" customFormat="1" ht="12.75">
      <c r="A51" s="9" t="s">
        <v>3</v>
      </c>
      <c r="B51" s="28" t="s">
        <v>42</v>
      </c>
      <c r="C51" s="10" t="s">
        <v>55</v>
      </c>
      <c r="D51" s="49">
        <v>100</v>
      </c>
      <c r="E51" s="21">
        <v>89.4</v>
      </c>
      <c r="F51" s="21">
        <v>90</v>
      </c>
      <c r="G51" s="21">
        <v>90</v>
      </c>
      <c r="H51" s="21">
        <v>116</v>
      </c>
      <c r="I51" s="21">
        <v>100</v>
      </c>
      <c r="J51" s="21">
        <v>100</v>
      </c>
      <c r="K51" s="21">
        <v>100</v>
      </c>
      <c r="L51" s="62">
        <f t="shared" si="4"/>
        <v>86.20689655172413</v>
      </c>
      <c r="M51" s="62">
        <f t="shared" si="5"/>
        <v>100</v>
      </c>
      <c r="N51" s="21">
        <v>100</v>
      </c>
      <c r="O51" s="104">
        <f t="shared" si="2"/>
        <v>100</v>
      </c>
      <c r="P51" s="21">
        <v>100</v>
      </c>
      <c r="Q51" s="21">
        <v>100</v>
      </c>
      <c r="R51" s="21">
        <v>100</v>
      </c>
      <c r="S51" s="21">
        <v>100</v>
      </c>
      <c r="T51" s="156">
        <f t="shared" si="6"/>
        <v>485.4</v>
      </c>
      <c r="U51" s="156">
        <f t="shared" si="7"/>
        <v>500</v>
      </c>
      <c r="Y51" s="152"/>
    </row>
    <row r="52" spans="1:25" s="160" customFormat="1" ht="12.75">
      <c r="A52" s="9" t="s">
        <v>3</v>
      </c>
      <c r="B52" s="28" t="s">
        <v>57</v>
      </c>
      <c r="C52" s="10" t="s">
        <v>30</v>
      </c>
      <c r="D52" s="49">
        <f>D50*D51/10</f>
        <v>7</v>
      </c>
      <c r="E52" s="21">
        <f aca="true" t="shared" si="31" ref="E52:S52">E50*E51/10</f>
        <v>375.48</v>
      </c>
      <c r="F52" s="21">
        <f t="shared" si="31"/>
        <v>81</v>
      </c>
      <c r="G52" s="21">
        <f t="shared" si="31"/>
        <v>135</v>
      </c>
      <c r="H52" s="21">
        <f t="shared" si="31"/>
        <v>81.2</v>
      </c>
      <c r="I52" s="21">
        <f t="shared" si="31"/>
        <v>150</v>
      </c>
      <c r="J52" s="21">
        <f t="shared" si="31"/>
        <v>32</v>
      </c>
      <c r="K52" s="21">
        <f t="shared" si="31"/>
        <v>357.99999999999994</v>
      </c>
      <c r="L52" s="62">
        <f t="shared" si="4"/>
        <v>440.88669950738904</v>
      </c>
      <c r="M52" s="62">
        <f t="shared" si="5"/>
        <v>238.66666666666663</v>
      </c>
      <c r="N52" s="21">
        <f>N50*N51/10</f>
        <v>360</v>
      </c>
      <c r="O52" s="104">
        <f t="shared" si="2"/>
        <v>100.5586592178771</v>
      </c>
      <c r="P52" s="21">
        <f t="shared" si="31"/>
        <v>50</v>
      </c>
      <c r="Q52" s="21">
        <f t="shared" si="31"/>
        <v>50</v>
      </c>
      <c r="R52" s="21">
        <f t="shared" si="31"/>
        <v>50</v>
      </c>
      <c r="S52" s="21">
        <f t="shared" si="31"/>
        <v>50</v>
      </c>
      <c r="T52" s="156">
        <f t="shared" si="6"/>
        <v>1030.68</v>
      </c>
      <c r="U52" s="156">
        <f t="shared" si="7"/>
        <v>560</v>
      </c>
      <c r="Y52" s="152"/>
    </row>
    <row r="53" spans="1:25" s="42" customFormat="1" ht="12.75">
      <c r="A53" s="2" t="s">
        <v>52</v>
      </c>
      <c r="B53" s="3" t="s">
        <v>7</v>
      </c>
      <c r="C53" s="2" t="s">
        <v>0</v>
      </c>
      <c r="D53" s="53">
        <f>D54</f>
        <v>64.6</v>
      </c>
      <c r="E53" s="24">
        <f aca="true" t="shared" si="32" ref="E53:S53">E54+E57</f>
        <v>27</v>
      </c>
      <c r="F53" s="24">
        <f t="shared" si="32"/>
        <v>12.8</v>
      </c>
      <c r="G53" s="24">
        <f t="shared" si="32"/>
        <v>9</v>
      </c>
      <c r="H53" s="24">
        <f t="shared" si="32"/>
        <v>17</v>
      </c>
      <c r="I53" s="24">
        <f t="shared" si="32"/>
        <v>19</v>
      </c>
      <c r="J53" s="24">
        <f t="shared" si="32"/>
        <v>4</v>
      </c>
      <c r="K53" s="24">
        <f t="shared" si="32"/>
        <v>10</v>
      </c>
      <c r="L53" s="62">
        <f t="shared" si="4"/>
        <v>58.82352941176471</v>
      </c>
      <c r="M53" s="62">
        <f t="shared" si="5"/>
        <v>52.63157894736842</v>
      </c>
      <c r="N53" s="24">
        <f>N54+N57</f>
        <v>23</v>
      </c>
      <c r="O53" s="194">
        <f t="shared" si="2"/>
        <v>229.99999999999997</v>
      </c>
      <c r="P53" s="24">
        <f t="shared" si="32"/>
        <v>20</v>
      </c>
      <c r="Q53" s="24">
        <f t="shared" si="32"/>
        <v>20</v>
      </c>
      <c r="R53" s="24">
        <f t="shared" si="32"/>
        <v>20</v>
      </c>
      <c r="S53" s="24">
        <f t="shared" si="32"/>
        <v>20</v>
      </c>
      <c r="T53" s="156">
        <f t="shared" si="6"/>
        <v>75.8</v>
      </c>
      <c r="U53" s="156">
        <f t="shared" si="7"/>
        <v>103</v>
      </c>
      <c r="Y53" s="152"/>
    </row>
    <row r="54" spans="1:25" s="160" customFormat="1" ht="12.75">
      <c r="A54" s="5" t="s">
        <v>10</v>
      </c>
      <c r="B54" s="6" t="s">
        <v>41</v>
      </c>
      <c r="C54" s="5" t="s">
        <v>0</v>
      </c>
      <c r="D54" s="49">
        <v>64.6</v>
      </c>
      <c r="E54" s="21">
        <v>27</v>
      </c>
      <c r="F54" s="21">
        <v>12.8</v>
      </c>
      <c r="G54" s="21">
        <v>9</v>
      </c>
      <c r="H54" s="21">
        <v>17</v>
      </c>
      <c r="I54" s="21">
        <v>19</v>
      </c>
      <c r="J54" s="21"/>
      <c r="K54" s="21">
        <v>6</v>
      </c>
      <c r="L54" s="62">
        <f t="shared" si="4"/>
        <v>35.294117647058826</v>
      </c>
      <c r="M54" s="62">
        <f t="shared" si="5"/>
        <v>31.57894736842105</v>
      </c>
      <c r="N54" s="21">
        <v>19</v>
      </c>
      <c r="O54" s="104">
        <f t="shared" si="2"/>
        <v>316.66666666666663</v>
      </c>
      <c r="P54" s="21">
        <v>20</v>
      </c>
      <c r="Q54" s="21">
        <v>20</v>
      </c>
      <c r="R54" s="21">
        <v>20</v>
      </c>
      <c r="S54" s="21">
        <v>20</v>
      </c>
      <c r="T54" s="156">
        <f t="shared" si="6"/>
        <v>71.8</v>
      </c>
      <c r="U54" s="156">
        <f t="shared" si="7"/>
        <v>99</v>
      </c>
      <c r="Y54" s="152"/>
    </row>
    <row r="55" spans="1:25" s="160" customFormat="1" ht="12.75">
      <c r="A55" s="9" t="s">
        <v>3</v>
      </c>
      <c r="B55" s="14" t="s">
        <v>42</v>
      </c>
      <c r="C55" s="10" t="s">
        <v>55</v>
      </c>
      <c r="D55" s="49">
        <v>17.1</v>
      </c>
      <c r="E55" s="21">
        <v>20</v>
      </c>
      <c r="F55" s="21">
        <v>20</v>
      </c>
      <c r="G55" s="21">
        <v>20</v>
      </c>
      <c r="H55" s="21">
        <v>20</v>
      </c>
      <c r="I55" s="21">
        <v>21</v>
      </c>
      <c r="J55" s="21"/>
      <c r="K55" s="21">
        <v>20</v>
      </c>
      <c r="L55" s="62">
        <f t="shared" si="4"/>
        <v>100</v>
      </c>
      <c r="M55" s="62">
        <f t="shared" si="5"/>
        <v>95.23809523809523</v>
      </c>
      <c r="N55" s="21">
        <v>21</v>
      </c>
      <c r="O55" s="104">
        <f t="shared" si="2"/>
        <v>105</v>
      </c>
      <c r="P55" s="21">
        <v>20</v>
      </c>
      <c r="Q55" s="21">
        <v>20</v>
      </c>
      <c r="R55" s="21">
        <v>20</v>
      </c>
      <c r="S55" s="21">
        <v>20</v>
      </c>
      <c r="T55" s="156">
        <f t="shared" si="6"/>
        <v>100</v>
      </c>
      <c r="U55" s="156">
        <f t="shared" si="7"/>
        <v>101</v>
      </c>
      <c r="Y55" s="152"/>
    </row>
    <row r="56" spans="1:25" s="160" customFormat="1" ht="12.75">
      <c r="A56" s="9" t="s">
        <v>3</v>
      </c>
      <c r="B56" s="14" t="s">
        <v>57</v>
      </c>
      <c r="C56" s="10" t="s">
        <v>30</v>
      </c>
      <c r="D56" s="49">
        <f aca="true" t="shared" si="33" ref="D56:S56">D54*D55/10</f>
        <v>110.46600000000001</v>
      </c>
      <c r="E56" s="21">
        <f t="shared" si="33"/>
        <v>54</v>
      </c>
      <c r="F56" s="21">
        <f t="shared" si="33"/>
        <v>25.6</v>
      </c>
      <c r="G56" s="21">
        <f t="shared" si="33"/>
        <v>18</v>
      </c>
      <c r="H56" s="21">
        <f t="shared" si="33"/>
        <v>34</v>
      </c>
      <c r="I56" s="21">
        <f>I54*I55/10</f>
        <v>39.9</v>
      </c>
      <c r="J56" s="21"/>
      <c r="K56" s="21">
        <f t="shared" si="33"/>
        <v>12</v>
      </c>
      <c r="L56" s="62">
        <f t="shared" si="4"/>
        <v>35.294117647058826</v>
      </c>
      <c r="M56" s="62">
        <f t="shared" si="5"/>
        <v>30.075187969924812</v>
      </c>
      <c r="N56" s="21">
        <f>N54*N55/10</f>
        <v>39.9</v>
      </c>
      <c r="O56" s="104">
        <f t="shared" si="2"/>
        <v>332.5</v>
      </c>
      <c r="P56" s="21">
        <f t="shared" si="33"/>
        <v>40</v>
      </c>
      <c r="Q56" s="21">
        <f t="shared" si="33"/>
        <v>40</v>
      </c>
      <c r="R56" s="21">
        <f t="shared" si="33"/>
        <v>40</v>
      </c>
      <c r="S56" s="21">
        <f t="shared" si="33"/>
        <v>40</v>
      </c>
      <c r="T56" s="156">
        <f t="shared" si="6"/>
        <v>143.6</v>
      </c>
      <c r="U56" s="156">
        <f t="shared" si="7"/>
        <v>199.9</v>
      </c>
      <c r="Y56" s="152"/>
    </row>
    <row r="57" spans="1:25" s="160" customFormat="1" ht="12.75">
      <c r="A57" s="9" t="s">
        <v>11</v>
      </c>
      <c r="B57" s="14" t="s">
        <v>128</v>
      </c>
      <c r="C57" s="5" t="s">
        <v>0</v>
      </c>
      <c r="D57" s="49"/>
      <c r="E57" s="21"/>
      <c r="F57" s="21"/>
      <c r="G57" s="21"/>
      <c r="H57" s="21"/>
      <c r="I57" s="21"/>
      <c r="J57" s="21">
        <v>4</v>
      </c>
      <c r="K57" s="21">
        <v>4</v>
      </c>
      <c r="L57" s="62"/>
      <c r="M57" s="62"/>
      <c r="N57" s="21">
        <v>4</v>
      </c>
      <c r="O57" s="104">
        <f t="shared" si="2"/>
        <v>100</v>
      </c>
      <c r="P57" s="21"/>
      <c r="Q57" s="21"/>
      <c r="R57" s="21"/>
      <c r="S57" s="21"/>
      <c r="T57" s="156">
        <f t="shared" si="6"/>
        <v>4</v>
      </c>
      <c r="U57" s="156">
        <f t="shared" si="7"/>
        <v>4</v>
      </c>
      <c r="Y57" s="152"/>
    </row>
    <row r="58" spans="1:25" s="160" customFormat="1" ht="12.75">
      <c r="A58" s="9" t="s">
        <v>3</v>
      </c>
      <c r="B58" s="14" t="s">
        <v>42</v>
      </c>
      <c r="C58" s="10" t="s">
        <v>55</v>
      </c>
      <c r="D58" s="49"/>
      <c r="E58" s="21"/>
      <c r="F58" s="21"/>
      <c r="G58" s="21"/>
      <c r="H58" s="21"/>
      <c r="I58" s="21"/>
      <c r="J58" s="21"/>
      <c r="K58" s="21">
        <v>20</v>
      </c>
      <c r="L58" s="62"/>
      <c r="M58" s="62"/>
      <c r="N58" s="21">
        <v>20</v>
      </c>
      <c r="O58" s="104">
        <f t="shared" si="2"/>
        <v>100</v>
      </c>
      <c r="P58" s="21"/>
      <c r="Q58" s="21"/>
      <c r="R58" s="21"/>
      <c r="S58" s="21"/>
      <c r="T58" s="156">
        <f t="shared" si="6"/>
        <v>20</v>
      </c>
      <c r="U58" s="156">
        <f t="shared" si="7"/>
        <v>20</v>
      </c>
      <c r="Y58" s="152"/>
    </row>
    <row r="59" spans="1:25" s="160" customFormat="1" ht="12.75">
      <c r="A59" s="9" t="s">
        <v>3</v>
      </c>
      <c r="B59" s="14" t="s">
        <v>57</v>
      </c>
      <c r="C59" s="10" t="s">
        <v>30</v>
      </c>
      <c r="D59" s="49"/>
      <c r="E59" s="21"/>
      <c r="F59" s="21"/>
      <c r="G59" s="21"/>
      <c r="H59" s="21"/>
      <c r="I59" s="21"/>
      <c r="J59" s="21"/>
      <c r="K59" s="21">
        <f>K57*K58/10</f>
        <v>8</v>
      </c>
      <c r="L59" s="62"/>
      <c r="M59" s="62"/>
      <c r="N59" s="21">
        <f>N57*N58/10</f>
        <v>8</v>
      </c>
      <c r="O59" s="104">
        <f t="shared" si="2"/>
        <v>100</v>
      </c>
      <c r="P59" s="21"/>
      <c r="Q59" s="21"/>
      <c r="R59" s="21"/>
      <c r="S59" s="21"/>
      <c r="T59" s="156">
        <f t="shared" si="6"/>
        <v>8</v>
      </c>
      <c r="U59" s="156">
        <f t="shared" si="7"/>
        <v>8</v>
      </c>
      <c r="Y59" s="152"/>
    </row>
    <row r="60" spans="1:25" s="39" customFormat="1" ht="12.75">
      <c r="A60" s="2">
        <v>2</v>
      </c>
      <c r="B60" s="23" t="s">
        <v>44</v>
      </c>
      <c r="C60" s="2" t="s">
        <v>0</v>
      </c>
      <c r="D60" s="53">
        <f aca="true" t="shared" si="34" ref="D60:S60">D63+D124</f>
        <v>24746.6</v>
      </c>
      <c r="E60" s="24">
        <f t="shared" si="34"/>
        <v>25066.73</v>
      </c>
      <c r="F60" s="24">
        <f t="shared" si="34"/>
        <v>25563.199999999997</v>
      </c>
      <c r="G60" s="24">
        <f t="shared" si="34"/>
        <v>25685.539999999997</v>
      </c>
      <c r="H60" s="24">
        <f t="shared" si="34"/>
        <v>25775.240000000005</v>
      </c>
      <c r="I60" s="24">
        <f t="shared" si="34"/>
        <v>26055.2</v>
      </c>
      <c r="J60" s="24">
        <f>J63+J124</f>
        <v>25788.800000000003</v>
      </c>
      <c r="K60" s="24">
        <f t="shared" si="34"/>
        <v>25907.030000000002</v>
      </c>
      <c r="L60" s="62">
        <f t="shared" si="4"/>
        <v>100.51130464740578</v>
      </c>
      <c r="M60" s="62">
        <f t="shared" si="5"/>
        <v>99.43132273020358</v>
      </c>
      <c r="N60" s="24">
        <f>N63+N124</f>
        <v>26093.030000000002</v>
      </c>
      <c r="O60" s="194">
        <f t="shared" si="2"/>
        <v>100.71795184550294</v>
      </c>
      <c r="P60" s="24">
        <f t="shared" si="34"/>
        <v>25941.230000000003</v>
      </c>
      <c r="Q60" s="24">
        <f t="shared" si="34"/>
        <v>25972.230000000003</v>
      </c>
      <c r="R60" s="24">
        <f t="shared" si="34"/>
        <v>26004.130000000005</v>
      </c>
      <c r="S60" s="24">
        <f t="shared" si="34"/>
        <v>26069.230000000003</v>
      </c>
      <c r="T60" s="20">
        <f t="shared" si="6"/>
        <v>127997.73999999999</v>
      </c>
      <c r="U60" s="20">
        <f t="shared" si="7"/>
        <v>130079.85</v>
      </c>
      <c r="Y60" s="152"/>
    </row>
    <row r="61" spans="1:25" s="39" customFormat="1" ht="12.75">
      <c r="A61" s="2"/>
      <c r="B61" s="23" t="s">
        <v>100</v>
      </c>
      <c r="C61" s="2" t="s">
        <v>77</v>
      </c>
      <c r="D61" s="53">
        <f aca="true" t="shared" si="35" ref="D61:R61">D65+D76+D91+D102+D125+D138</f>
        <v>290.6776912814</v>
      </c>
      <c r="E61" s="24">
        <f t="shared" si="35"/>
        <v>329.48728642304</v>
      </c>
      <c r="F61" s="24">
        <f t="shared" si="35"/>
        <v>384.03339515880003</v>
      </c>
      <c r="G61" s="24">
        <f t="shared" si="35"/>
        <v>636.6007809374355</v>
      </c>
      <c r="H61" s="24">
        <f t="shared" si="35"/>
        <v>1049.2024687475785</v>
      </c>
      <c r="I61" s="24">
        <f t="shared" si="35"/>
        <v>1055.4943407658081</v>
      </c>
      <c r="J61" s="24">
        <f>J65+J76+J91+J102+J125+J138</f>
        <v>395.10784908</v>
      </c>
      <c r="K61" s="24">
        <f t="shared" si="35"/>
        <v>1058.8060003770001</v>
      </c>
      <c r="L61" s="62">
        <f t="shared" si="4"/>
        <v>100.91531729246552</v>
      </c>
      <c r="M61" s="62">
        <f t="shared" si="5"/>
        <v>100.31375436923607</v>
      </c>
      <c r="N61" s="24">
        <f>N65+N76+N91+N102+N125+N138</f>
        <v>1374.7761458200002</v>
      </c>
      <c r="O61" s="194">
        <f t="shared" si="2"/>
        <v>129.8421188896262</v>
      </c>
      <c r="P61" s="24">
        <f t="shared" si="35"/>
        <v>1720.0138722648003</v>
      </c>
      <c r="Q61" s="24">
        <f t="shared" si="35"/>
        <v>1726.2611638948001</v>
      </c>
      <c r="R61" s="24">
        <f t="shared" si="35"/>
        <v>1734.6564557348001</v>
      </c>
      <c r="S61" s="24">
        <f>S65+S76+S91+S102+S125+S138</f>
        <v>1744.9524232148</v>
      </c>
      <c r="T61" s="20">
        <f t="shared" si="6"/>
        <v>3458.129931643854</v>
      </c>
      <c r="U61" s="20">
        <f t="shared" si="7"/>
        <v>8300.6600609292</v>
      </c>
      <c r="Y61" s="152"/>
    </row>
    <row r="62" spans="1:25" s="39" customFormat="1" ht="12.75">
      <c r="A62" s="2"/>
      <c r="B62" s="23" t="s">
        <v>121</v>
      </c>
      <c r="C62" s="2"/>
      <c r="D62" s="53">
        <f aca="true" t="shared" si="36" ref="D62:S62">D66+D77+D92+D103+D126+D139</f>
        <v>260.65129472</v>
      </c>
      <c r="E62" s="24">
        <f t="shared" si="36"/>
        <v>288.07563552</v>
      </c>
      <c r="F62" s="24">
        <f t="shared" si="36"/>
        <v>343.4593660736</v>
      </c>
      <c r="G62" s="24">
        <f t="shared" si="36"/>
        <v>412.41255260352</v>
      </c>
      <c r="H62" s="24">
        <f t="shared" si="36"/>
        <v>478.87035119456</v>
      </c>
      <c r="I62" s="24">
        <f t="shared" si="36"/>
        <v>626.959731404864</v>
      </c>
      <c r="J62" s="24">
        <f>J66+J77+J92+J103+J126+J139</f>
        <v>498.2855728</v>
      </c>
      <c r="K62" s="24">
        <f t="shared" si="36"/>
        <v>499.27628493792</v>
      </c>
      <c r="L62" s="62">
        <f t="shared" si="4"/>
        <v>104.2612648063211</v>
      </c>
      <c r="M62" s="62">
        <f t="shared" si="5"/>
        <v>79.6345060023494</v>
      </c>
      <c r="N62" s="24">
        <f>N66+N77+N92+N103+N126+N139</f>
        <v>627.53057301856</v>
      </c>
      <c r="O62" s="194">
        <f t="shared" si="2"/>
        <v>125.6880392579806</v>
      </c>
      <c r="P62" s="24">
        <f t="shared" si="36"/>
        <v>744.1855267646399</v>
      </c>
      <c r="Q62" s="24">
        <f t="shared" si="36"/>
        <v>744.3654487635841</v>
      </c>
      <c r="R62" s="24">
        <f t="shared" si="36"/>
        <v>744.607233168576</v>
      </c>
      <c r="S62" s="24">
        <f t="shared" si="36"/>
        <v>744.903757032</v>
      </c>
      <c r="T62" s="20">
        <f t="shared" si="6"/>
        <v>2022.0941903296002</v>
      </c>
      <c r="U62" s="20">
        <f t="shared" si="7"/>
        <v>3605.5925387473603</v>
      </c>
      <c r="Y62" s="152"/>
    </row>
    <row r="63" spans="1:25" s="39" customFormat="1" ht="13.5" customHeight="1">
      <c r="A63" s="2" t="s">
        <v>15</v>
      </c>
      <c r="B63" s="30" t="s">
        <v>9</v>
      </c>
      <c r="C63" s="2" t="s">
        <v>0</v>
      </c>
      <c r="D63" s="53">
        <f aca="true" t="shared" si="37" ref="D63:S63">D64+D75+D90+D101+D112+D118</f>
        <v>24721.67</v>
      </c>
      <c r="E63" s="24">
        <f t="shared" si="37"/>
        <v>25032.84</v>
      </c>
      <c r="F63" s="24">
        <f t="shared" si="37"/>
        <v>25491.199999999997</v>
      </c>
      <c r="G63" s="24">
        <f t="shared" si="37"/>
        <v>25605.539999999997</v>
      </c>
      <c r="H63" s="24">
        <f t="shared" si="37"/>
        <v>25693.240000000005</v>
      </c>
      <c r="I63" s="24">
        <f t="shared" si="37"/>
        <v>25935.2</v>
      </c>
      <c r="J63" s="24">
        <f>J64+J75+J90+J101+J112+J118</f>
        <v>25696.800000000003</v>
      </c>
      <c r="K63" s="24">
        <f t="shared" si="37"/>
        <v>25807.030000000002</v>
      </c>
      <c r="L63" s="62">
        <f t="shared" si="4"/>
        <v>100.44287913863724</v>
      </c>
      <c r="M63" s="62">
        <f t="shared" si="5"/>
        <v>99.50580677997472</v>
      </c>
      <c r="N63" s="24">
        <f>N64+N75+N90+N101+N112+N118</f>
        <v>25973.030000000002</v>
      </c>
      <c r="O63" s="194">
        <f t="shared" si="2"/>
        <v>100.6432355834825</v>
      </c>
      <c r="P63" s="24">
        <f t="shared" si="37"/>
        <v>25781.230000000003</v>
      </c>
      <c r="Q63" s="24">
        <f t="shared" si="37"/>
        <v>25792.230000000003</v>
      </c>
      <c r="R63" s="24">
        <f t="shared" si="37"/>
        <v>25804.130000000005</v>
      </c>
      <c r="S63" s="24">
        <f t="shared" si="37"/>
        <v>25819.230000000003</v>
      </c>
      <c r="T63" s="20">
        <f t="shared" si="6"/>
        <v>127629.84999999999</v>
      </c>
      <c r="U63" s="20">
        <f t="shared" si="7"/>
        <v>129169.85</v>
      </c>
      <c r="Y63" s="152"/>
    </row>
    <row r="64" spans="1:25" s="41" customFormat="1" ht="12.75">
      <c r="A64" s="5" t="s">
        <v>10</v>
      </c>
      <c r="B64" s="27" t="s">
        <v>34</v>
      </c>
      <c r="C64" s="5" t="s">
        <v>0</v>
      </c>
      <c r="D64" s="49">
        <f>D67+D69+D71</f>
        <v>17.5</v>
      </c>
      <c r="E64" s="21">
        <f>E67+E69+E71</f>
        <v>29.2</v>
      </c>
      <c r="F64" s="21">
        <f>F67+F69+F71</f>
        <v>73.3</v>
      </c>
      <c r="G64" s="21">
        <f>G67+G69+G71</f>
        <v>91.5</v>
      </c>
      <c r="H64" s="21">
        <f>H67+H69+H71</f>
        <v>90.7</v>
      </c>
      <c r="I64" s="21">
        <v>130</v>
      </c>
      <c r="J64" s="21">
        <v>87</v>
      </c>
      <c r="K64" s="21">
        <v>87</v>
      </c>
      <c r="L64" s="62">
        <f t="shared" si="4"/>
        <v>95.92061742006615</v>
      </c>
      <c r="M64" s="62">
        <f t="shared" si="5"/>
        <v>66.92307692307692</v>
      </c>
      <c r="N64" s="21">
        <v>130</v>
      </c>
      <c r="O64" s="104">
        <f t="shared" si="2"/>
        <v>149.42528735632183</v>
      </c>
      <c r="P64" s="21">
        <f>P67+P69+P71</f>
        <v>105</v>
      </c>
      <c r="Q64" s="21">
        <f>Q67+Q69+Q71</f>
        <v>110</v>
      </c>
      <c r="R64" s="21">
        <f>R67+R69+R71</f>
        <v>115</v>
      </c>
      <c r="S64" s="21">
        <f>S67+S69+S71</f>
        <v>120</v>
      </c>
      <c r="T64" s="156">
        <f t="shared" si="6"/>
        <v>371.7</v>
      </c>
      <c r="U64" s="156">
        <f t="shared" si="7"/>
        <v>580</v>
      </c>
      <c r="Y64" s="152"/>
    </row>
    <row r="65" spans="1:25" s="41" customFormat="1" ht="12.75">
      <c r="A65" s="5"/>
      <c r="B65" s="27" t="s">
        <v>84</v>
      </c>
      <c r="C65" s="5" t="s">
        <v>76</v>
      </c>
      <c r="D65" s="49">
        <f>D74+D68+D70</f>
        <v>0.5249999999999999</v>
      </c>
      <c r="E65" s="21">
        <f>E74+E68+E70</f>
        <v>0.876</v>
      </c>
      <c r="F65" s="21">
        <f aca="true" t="shared" si="38" ref="F65:S65">F74+F68+F70</f>
        <v>2.173984</v>
      </c>
      <c r="G65" s="21">
        <f t="shared" si="38"/>
        <v>3.160555</v>
      </c>
      <c r="H65" s="21">
        <f t="shared" si="38"/>
        <v>3.6497906799999997</v>
      </c>
      <c r="I65" s="21">
        <f t="shared" si="38"/>
        <v>6.6143225</v>
      </c>
      <c r="J65" s="21">
        <f>J74+J68+J70</f>
        <v>1.614</v>
      </c>
      <c r="K65" s="21">
        <f t="shared" si="38"/>
        <v>5.3243225</v>
      </c>
      <c r="L65" s="62">
        <f t="shared" si="4"/>
        <v>145.88021524565897</v>
      </c>
      <c r="M65" s="62">
        <f t="shared" si="5"/>
        <v>80.496868726918</v>
      </c>
      <c r="N65" s="21">
        <f t="shared" si="38"/>
        <v>6.6143225</v>
      </c>
      <c r="O65" s="104">
        <f t="shared" si="2"/>
        <v>124.2284346975601</v>
      </c>
      <c r="P65" s="21">
        <f t="shared" si="38"/>
        <v>6.52245275</v>
      </c>
      <c r="Q65" s="21">
        <f t="shared" si="38"/>
        <v>7.018250000000001</v>
      </c>
      <c r="R65" s="21">
        <f t="shared" si="38"/>
        <v>7.1682500000000005</v>
      </c>
      <c r="S65" s="21">
        <f t="shared" si="38"/>
        <v>8.914995000000001</v>
      </c>
      <c r="T65" s="156">
        <f t="shared" si="6"/>
        <v>15.18465218</v>
      </c>
      <c r="U65" s="156">
        <f t="shared" si="7"/>
        <v>36.23827025</v>
      </c>
      <c r="Y65" s="152"/>
    </row>
    <row r="66" spans="1:25" s="41" customFormat="1" ht="12.75">
      <c r="A66" s="5"/>
      <c r="B66" s="27" t="s">
        <v>122</v>
      </c>
      <c r="C66" s="5" t="s">
        <v>76</v>
      </c>
      <c r="D66" s="49">
        <f>D65*30%*9.6%</f>
        <v>0.015119999999999998</v>
      </c>
      <c r="E66" s="21">
        <f aca="true" t="shared" si="39" ref="E66:S66">E65*30%*9.6%</f>
        <v>0.0252288</v>
      </c>
      <c r="F66" s="21">
        <f t="shared" si="39"/>
        <v>0.0626107392</v>
      </c>
      <c r="G66" s="21">
        <f t="shared" si="39"/>
        <v>0.09102398399999999</v>
      </c>
      <c r="H66" s="21">
        <f t="shared" si="39"/>
        <v>0.10511397158399999</v>
      </c>
      <c r="I66" s="21">
        <f>I65*30%*9.6%</f>
        <v>0.190492488</v>
      </c>
      <c r="J66" s="21">
        <f>J65*30%*9.6%</f>
        <v>0.0464832</v>
      </c>
      <c r="K66" s="21">
        <f t="shared" si="39"/>
        <v>0.153340488</v>
      </c>
      <c r="L66" s="62">
        <f t="shared" si="4"/>
        <v>145.88021524565897</v>
      </c>
      <c r="M66" s="62">
        <f t="shared" si="5"/>
        <v>80.496868726918</v>
      </c>
      <c r="N66" s="21">
        <f>N65*30%*9.6%</f>
        <v>0.190492488</v>
      </c>
      <c r="O66" s="104">
        <f t="shared" si="2"/>
        <v>124.2284346975601</v>
      </c>
      <c r="P66" s="21">
        <f t="shared" si="39"/>
        <v>0.1878466392</v>
      </c>
      <c r="Q66" s="21">
        <f t="shared" si="39"/>
        <v>0.20212560000000002</v>
      </c>
      <c r="R66" s="21">
        <f t="shared" si="39"/>
        <v>0.2064456</v>
      </c>
      <c r="S66" s="21">
        <f t="shared" si="39"/>
        <v>0.25675185600000006</v>
      </c>
      <c r="T66" s="156">
        <f t="shared" si="6"/>
        <v>0.43731798278399997</v>
      </c>
      <c r="U66" s="156">
        <f t="shared" si="7"/>
        <v>1.0436621832000001</v>
      </c>
      <c r="Y66" s="152"/>
    </row>
    <row r="67" spans="1:25" s="41" customFormat="1" ht="15.75" customHeight="1">
      <c r="A67" s="9" t="s">
        <v>3</v>
      </c>
      <c r="B67" s="28" t="s">
        <v>80</v>
      </c>
      <c r="C67" s="10" t="s">
        <v>0</v>
      </c>
      <c r="D67" s="49">
        <v>9.5</v>
      </c>
      <c r="E67" s="21">
        <v>11.7</v>
      </c>
      <c r="F67" s="21">
        <v>44.1</v>
      </c>
      <c r="G67" s="21">
        <f>91.5-73.3</f>
        <v>18.200000000000003</v>
      </c>
      <c r="H67" s="21"/>
      <c r="I67" s="21">
        <v>10</v>
      </c>
      <c r="J67" s="21">
        <v>0</v>
      </c>
      <c r="K67" s="21">
        <v>0</v>
      </c>
      <c r="L67" s="62"/>
      <c r="M67" s="62">
        <f t="shared" si="5"/>
        <v>0</v>
      </c>
      <c r="N67" s="21">
        <v>10</v>
      </c>
      <c r="O67" s="104"/>
      <c r="P67" s="21">
        <v>5</v>
      </c>
      <c r="Q67" s="21">
        <v>5</v>
      </c>
      <c r="R67" s="21">
        <v>5</v>
      </c>
      <c r="S67" s="21">
        <v>5</v>
      </c>
      <c r="T67" s="156">
        <f t="shared" si="6"/>
        <v>74</v>
      </c>
      <c r="U67" s="156">
        <f t="shared" si="7"/>
        <v>30</v>
      </c>
      <c r="Y67" s="152"/>
    </row>
    <row r="68" spans="1:25" s="41" customFormat="1" ht="15.75" customHeight="1">
      <c r="A68" s="9"/>
      <c r="B68" s="28" t="s">
        <v>81</v>
      </c>
      <c r="C68" s="10" t="s">
        <v>77</v>
      </c>
      <c r="D68" s="49">
        <f>D67*30/1000</f>
        <v>0.285</v>
      </c>
      <c r="E68" s="21">
        <f aca="true" t="shared" si="40" ref="E68:S68">E67*30/1000</f>
        <v>0.351</v>
      </c>
      <c r="F68" s="21">
        <f t="shared" si="40"/>
        <v>1.323</v>
      </c>
      <c r="G68" s="21">
        <f t="shared" si="40"/>
        <v>0.5460000000000002</v>
      </c>
      <c r="H68" s="21">
        <f t="shared" si="40"/>
        <v>0</v>
      </c>
      <c r="I68" s="21">
        <f t="shared" si="40"/>
        <v>0.3</v>
      </c>
      <c r="J68" s="21">
        <f t="shared" si="40"/>
        <v>0</v>
      </c>
      <c r="K68" s="21">
        <f t="shared" si="40"/>
        <v>0</v>
      </c>
      <c r="L68" s="62"/>
      <c r="M68" s="62">
        <f t="shared" si="5"/>
        <v>0</v>
      </c>
      <c r="N68" s="21">
        <f>N67*30/1000</f>
        <v>0.3</v>
      </c>
      <c r="O68" s="104"/>
      <c r="P68" s="21">
        <f t="shared" si="40"/>
        <v>0.15</v>
      </c>
      <c r="Q68" s="21">
        <f t="shared" si="40"/>
        <v>0.15</v>
      </c>
      <c r="R68" s="21">
        <f t="shared" si="40"/>
        <v>0.15</v>
      </c>
      <c r="S68" s="21">
        <f t="shared" si="40"/>
        <v>0.15</v>
      </c>
      <c r="T68" s="156">
        <f t="shared" si="6"/>
        <v>2.22</v>
      </c>
      <c r="U68" s="156">
        <f t="shared" si="7"/>
        <v>0.8999999999999999</v>
      </c>
      <c r="Y68" s="152"/>
    </row>
    <row r="69" spans="1:25" s="41" customFormat="1" ht="15.75" customHeight="1">
      <c r="A69" s="9" t="s">
        <v>3</v>
      </c>
      <c r="B69" s="28" t="s">
        <v>82</v>
      </c>
      <c r="C69" s="10" t="s">
        <v>0</v>
      </c>
      <c r="D69" s="49">
        <v>8</v>
      </c>
      <c r="E69" s="21">
        <v>17.5</v>
      </c>
      <c r="F69" s="21">
        <v>21.2</v>
      </c>
      <c r="G69" s="21">
        <f>91.5-18.2-17.5</f>
        <v>55.8</v>
      </c>
      <c r="H69" s="21">
        <f>90.7-29.2</f>
        <v>61.5</v>
      </c>
      <c r="I69" s="21">
        <f>I64-I67-I71</f>
        <v>47</v>
      </c>
      <c r="J69" s="167">
        <f>J64-J71</f>
        <v>53.8</v>
      </c>
      <c r="K69" s="21">
        <v>14</v>
      </c>
      <c r="L69" s="62">
        <f t="shared" si="4"/>
        <v>22.76422764227642</v>
      </c>
      <c r="M69" s="62">
        <f t="shared" si="5"/>
        <v>29.78723404255319</v>
      </c>
      <c r="N69" s="21">
        <f>N64-N67-N71</f>
        <v>47</v>
      </c>
      <c r="O69" s="104">
        <f t="shared" si="2"/>
        <v>335.7142857142857</v>
      </c>
      <c r="P69" s="21">
        <f>100-90.7</f>
        <v>9.299999999999997</v>
      </c>
      <c r="Q69" s="21">
        <f>110-100-5</f>
        <v>5</v>
      </c>
      <c r="R69" s="21">
        <f>115-5-100</f>
        <v>10</v>
      </c>
      <c r="S69" s="21">
        <f>120-5-105</f>
        <v>10</v>
      </c>
      <c r="T69" s="156">
        <f t="shared" si="6"/>
        <v>170</v>
      </c>
      <c r="U69" s="156">
        <f t="shared" si="7"/>
        <v>81.3</v>
      </c>
      <c r="Y69" s="152"/>
    </row>
    <row r="70" spans="1:25" s="41" customFormat="1" ht="15.75" customHeight="1">
      <c r="A70" s="9"/>
      <c r="B70" s="28" t="s">
        <v>83</v>
      </c>
      <c r="C70" s="10" t="s">
        <v>77</v>
      </c>
      <c r="D70" s="49">
        <f aca="true" t="shared" si="41" ref="D70:R70">D69*30/1000</f>
        <v>0.24</v>
      </c>
      <c r="E70" s="21">
        <f t="shared" si="41"/>
        <v>0.525</v>
      </c>
      <c r="F70" s="21">
        <f t="shared" si="41"/>
        <v>0.636</v>
      </c>
      <c r="G70" s="21">
        <f t="shared" si="41"/>
        <v>1.674</v>
      </c>
      <c r="H70" s="21">
        <f t="shared" si="41"/>
        <v>1.845</v>
      </c>
      <c r="I70" s="21">
        <f t="shared" si="41"/>
        <v>1.41</v>
      </c>
      <c r="J70" s="21">
        <f t="shared" si="41"/>
        <v>1.614</v>
      </c>
      <c r="K70" s="21">
        <f t="shared" si="41"/>
        <v>0.42</v>
      </c>
      <c r="L70" s="62">
        <f t="shared" si="4"/>
        <v>22.76422764227642</v>
      </c>
      <c r="M70" s="62">
        <f t="shared" si="5"/>
        <v>29.78723404255319</v>
      </c>
      <c r="N70" s="21">
        <f t="shared" si="41"/>
        <v>1.41</v>
      </c>
      <c r="O70" s="104">
        <f t="shared" si="2"/>
        <v>335.7142857142857</v>
      </c>
      <c r="P70" s="21">
        <f t="shared" si="41"/>
        <v>0.27899999999999986</v>
      </c>
      <c r="Q70" s="21">
        <f t="shared" si="41"/>
        <v>0.15</v>
      </c>
      <c r="R70" s="21">
        <f t="shared" si="41"/>
        <v>0.3</v>
      </c>
      <c r="S70" s="21">
        <f>S69*30/1000</f>
        <v>0.3</v>
      </c>
      <c r="T70" s="156">
        <f t="shared" si="6"/>
        <v>5.1</v>
      </c>
      <c r="U70" s="156">
        <f t="shared" si="7"/>
        <v>2.439</v>
      </c>
      <c r="Y70" s="152"/>
    </row>
    <row r="71" spans="1:25" s="41" customFormat="1" ht="12.75">
      <c r="A71" s="9" t="s">
        <v>3</v>
      </c>
      <c r="B71" s="28" t="s">
        <v>63</v>
      </c>
      <c r="C71" s="10" t="s">
        <v>0</v>
      </c>
      <c r="D71" s="49"/>
      <c r="E71" s="21"/>
      <c r="F71" s="21">
        <v>8</v>
      </c>
      <c r="G71" s="21">
        <v>17.5</v>
      </c>
      <c r="H71" s="21">
        <v>29.2</v>
      </c>
      <c r="I71" s="21">
        <v>73</v>
      </c>
      <c r="J71" s="21">
        <v>33.2</v>
      </c>
      <c r="K71" s="44">
        <v>73</v>
      </c>
      <c r="L71" s="62">
        <f t="shared" si="4"/>
        <v>250</v>
      </c>
      <c r="M71" s="62">
        <f t="shared" si="5"/>
        <v>100</v>
      </c>
      <c r="N71" s="21">
        <v>73</v>
      </c>
      <c r="O71" s="104">
        <f aca="true" t="shared" si="42" ref="O71:O133">N71/K71*100</f>
        <v>100</v>
      </c>
      <c r="P71" s="44">
        <v>90.7</v>
      </c>
      <c r="Q71" s="44">
        <v>100</v>
      </c>
      <c r="R71" s="44">
        <v>100</v>
      </c>
      <c r="S71" s="44">
        <v>105</v>
      </c>
      <c r="T71" s="156">
        <f t="shared" si="6"/>
        <v>127.7</v>
      </c>
      <c r="U71" s="156">
        <f t="shared" si="7"/>
        <v>468.7</v>
      </c>
      <c r="Y71" s="152"/>
    </row>
    <row r="72" spans="1:25" s="41" customFormat="1" ht="12.75">
      <c r="A72" s="9"/>
      <c r="B72" s="28" t="s">
        <v>42</v>
      </c>
      <c r="C72" s="10" t="s">
        <v>55</v>
      </c>
      <c r="D72" s="49"/>
      <c r="E72" s="21"/>
      <c r="F72" s="21">
        <v>10</v>
      </c>
      <c r="G72" s="21">
        <v>20</v>
      </c>
      <c r="H72" s="21">
        <v>23</v>
      </c>
      <c r="I72" s="21">
        <v>25</v>
      </c>
      <c r="J72" s="21"/>
      <c r="K72" s="44">
        <v>25</v>
      </c>
      <c r="L72" s="62">
        <f t="shared" si="4"/>
        <v>108.69565217391303</v>
      </c>
      <c r="M72" s="62">
        <f t="shared" si="5"/>
        <v>100</v>
      </c>
      <c r="N72" s="21">
        <v>25</v>
      </c>
      <c r="O72" s="104">
        <f t="shared" si="42"/>
        <v>100</v>
      </c>
      <c r="P72" s="44">
        <v>25</v>
      </c>
      <c r="Q72" s="44">
        <v>25</v>
      </c>
      <c r="R72" s="44">
        <v>25</v>
      </c>
      <c r="S72" s="44">
        <v>30</v>
      </c>
      <c r="T72" s="156">
        <f t="shared" si="6"/>
        <v>78</v>
      </c>
      <c r="U72" s="156">
        <f t="shared" si="7"/>
        <v>130</v>
      </c>
      <c r="Y72" s="152"/>
    </row>
    <row r="73" spans="1:25" s="41" customFormat="1" ht="15.75" customHeight="1">
      <c r="A73" s="9"/>
      <c r="B73" s="28" t="s">
        <v>57</v>
      </c>
      <c r="C73" s="10" t="s">
        <v>30</v>
      </c>
      <c r="D73" s="49"/>
      <c r="E73" s="21"/>
      <c r="F73" s="21">
        <f>F71*F72/10</f>
        <v>8</v>
      </c>
      <c r="G73" s="44">
        <f>G71*G72/10</f>
        <v>35</v>
      </c>
      <c r="H73" s="44">
        <f>H71*H72/10</f>
        <v>67.16</v>
      </c>
      <c r="I73" s="44">
        <f>I71*I72/10</f>
        <v>182.5</v>
      </c>
      <c r="J73" s="44"/>
      <c r="K73" s="44">
        <f>K71*K72/10</f>
        <v>182.5</v>
      </c>
      <c r="L73" s="62">
        <f aca="true" t="shared" si="43" ref="L73:L134">K73/H73*100</f>
        <v>271.7391304347826</v>
      </c>
      <c r="M73" s="62">
        <f aca="true" t="shared" si="44" ref="M73:M134">K73/I73*100</f>
        <v>100</v>
      </c>
      <c r="N73" s="44">
        <f>N71*N72/10</f>
        <v>182.5</v>
      </c>
      <c r="O73" s="104">
        <f t="shared" si="42"/>
        <v>100</v>
      </c>
      <c r="P73" s="44">
        <f>P71*P72/10</f>
        <v>226.75</v>
      </c>
      <c r="Q73" s="44">
        <f>Q71*Q72/10</f>
        <v>250</v>
      </c>
      <c r="R73" s="44">
        <f>R71*R72/10</f>
        <v>250</v>
      </c>
      <c r="S73" s="44">
        <f>S71*S72/10</f>
        <v>315</v>
      </c>
      <c r="T73" s="156">
        <f aca="true" t="shared" si="45" ref="T73:T136">SUM(E73:H73)+K73</f>
        <v>292.65999999999997</v>
      </c>
      <c r="U73" s="156">
        <f aca="true" t="shared" si="46" ref="U73:U136">N73+SUM(P73:S73)</f>
        <v>1224.25</v>
      </c>
      <c r="Y73" s="152"/>
    </row>
    <row r="74" spans="1:25" s="41" customFormat="1" ht="15.75" customHeight="1">
      <c r="A74" s="9"/>
      <c r="B74" s="28" t="s">
        <v>79</v>
      </c>
      <c r="C74" s="10" t="s">
        <v>77</v>
      </c>
      <c r="D74" s="49">
        <f>D73*26.873/1000</f>
        <v>0</v>
      </c>
      <c r="E74" s="49">
        <f aca="true" t="shared" si="47" ref="E74:S74">E73*26.873/1000</f>
        <v>0</v>
      </c>
      <c r="F74" s="49">
        <f t="shared" si="47"/>
        <v>0.214984</v>
      </c>
      <c r="G74" s="49">
        <f t="shared" si="47"/>
        <v>0.940555</v>
      </c>
      <c r="H74" s="49">
        <f t="shared" si="47"/>
        <v>1.80479068</v>
      </c>
      <c r="I74" s="49">
        <f t="shared" si="47"/>
        <v>4.9043225</v>
      </c>
      <c r="J74" s="49">
        <f t="shared" si="47"/>
        <v>0</v>
      </c>
      <c r="K74" s="49">
        <f t="shared" si="47"/>
        <v>4.9043225</v>
      </c>
      <c r="L74" s="62">
        <f t="shared" si="43"/>
        <v>271.7391304347826</v>
      </c>
      <c r="M74" s="62">
        <f t="shared" si="44"/>
        <v>100</v>
      </c>
      <c r="N74" s="49">
        <f t="shared" si="47"/>
        <v>4.9043225</v>
      </c>
      <c r="O74" s="104">
        <f t="shared" si="47"/>
        <v>2.6873</v>
      </c>
      <c r="P74" s="49">
        <f t="shared" si="47"/>
        <v>6.09345275</v>
      </c>
      <c r="Q74" s="49">
        <f t="shared" si="47"/>
        <v>6.71825</v>
      </c>
      <c r="R74" s="49">
        <f t="shared" si="47"/>
        <v>6.71825</v>
      </c>
      <c r="S74" s="49">
        <f t="shared" si="47"/>
        <v>8.464995</v>
      </c>
      <c r="T74" s="156">
        <f t="shared" si="45"/>
        <v>7.86465218</v>
      </c>
      <c r="U74" s="156">
        <f t="shared" si="46"/>
        <v>32.89927025</v>
      </c>
      <c r="Y74" s="152"/>
    </row>
    <row r="75" spans="1:25" s="41" customFormat="1" ht="12.75">
      <c r="A75" s="5" t="s">
        <v>11</v>
      </c>
      <c r="B75" s="27" t="s">
        <v>35</v>
      </c>
      <c r="C75" s="5" t="s">
        <v>0</v>
      </c>
      <c r="D75" s="49">
        <f>D78+D81+D84</f>
        <v>24506.67</v>
      </c>
      <c r="E75" s="21">
        <f>E78+E81+E84</f>
        <v>24719.74</v>
      </c>
      <c r="F75" s="21">
        <f>F78+F81+F84</f>
        <v>24719.8</v>
      </c>
      <c r="G75" s="21">
        <f>G78+G81+G84</f>
        <v>24719.739999999998</v>
      </c>
      <c r="H75" s="21">
        <f>H78+H81+H84</f>
        <v>24719.74</v>
      </c>
      <c r="I75" s="21">
        <v>24720</v>
      </c>
      <c r="J75" s="21">
        <v>24719.7</v>
      </c>
      <c r="K75" s="21">
        <v>24774.83</v>
      </c>
      <c r="L75" s="62">
        <f t="shared" si="43"/>
        <v>100.22285833103423</v>
      </c>
      <c r="M75" s="62">
        <f t="shared" si="44"/>
        <v>100.22180420711975</v>
      </c>
      <c r="N75" s="21">
        <v>24774.83</v>
      </c>
      <c r="O75" s="104">
        <f t="shared" si="42"/>
        <v>100</v>
      </c>
      <c r="P75" s="21">
        <v>24774.83</v>
      </c>
      <c r="Q75" s="21">
        <v>24774.83</v>
      </c>
      <c r="R75" s="21">
        <v>24774.83</v>
      </c>
      <c r="S75" s="21">
        <v>24774.83</v>
      </c>
      <c r="T75" s="156">
        <f t="shared" si="45"/>
        <v>123653.85</v>
      </c>
      <c r="U75" s="156">
        <f t="shared" si="46"/>
        <v>123874.15000000001</v>
      </c>
      <c r="Y75" s="152"/>
    </row>
    <row r="76" spans="1:25" s="41" customFormat="1" ht="12.75">
      <c r="A76" s="5"/>
      <c r="B76" s="27" t="s">
        <v>85</v>
      </c>
      <c r="C76" s="5" t="s">
        <v>77</v>
      </c>
      <c r="D76" s="49">
        <f aca="true" t="shared" si="48" ref="D76:S76">D79+D88+D82</f>
        <v>283.7820412814</v>
      </c>
      <c r="E76" s="21">
        <f t="shared" si="48"/>
        <v>324.25688642304004</v>
      </c>
      <c r="F76" s="21">
        <f t="shared" si="48"/>
        <v>365.0970731588</v>
      </c>
      <c r="G76" s="21">
        <f t="shared" si="48"/>
        <v>623.7413155374355</v>
      </c>
      <c r="H76" s="21">
        <f t="shared" si="48"/>
        <v>1034.9333300475785</v>
      </c>
      <c r="I76" s="21">
        <f>I79+I88+I82</f>
        <v>1030.503666985808</v>
      </c>
      <c r="J76" s="21">
        <f>J79+J88+J82</f>
        <v>392.72684908</v>
      </c>
      <c r="K76" s="21">
        <f>K79+K88+K82</f>
        <v>1041.1676344769999</v>
      </c>
      <c r="L76" s="62">
        <f t="shared" si="43"/>
        <v>100.60238705706142</v>
      </c>
      <c r="M76" s="62">
        <f t="shared" si="44"/>
        <v>101.0348306204852</v>
      </c>
      <c r="N76" s="21">
        <f>N79+N88+N82</f>
        <v>1349.0027771200002</v>
      </c>
      <c r="O76" s="104">
        <f t="shared" si="42"/>
        <v>129.5663380659765</v>
      </c>
      <c r="P76" s="21">
        <f t="shared" si="48"/>
        <v>1687.3532207148</v>
      </c>
      <c r="Q76" s="21">
        <f t="shared" si="48"/>
        <v>1687.3532207148</v>
      </c>
      <c r="R76" s="21">
        <f t="shared" si="48"/>
        <v>1687.3532207148</v>
      </c>
      <c r="S76" s="21">
        <f t="shared" si="48"/>
        <v>1687.3532207148</v>
      </c>
      <c r="T76" s="156">
        <f t="shared" si="45"/>
        <v>3389.196239643854</v>
      </c>
      <c r="U76" s="156">
        <f t="shared" si="46"/>
        <v>8098.4156599792</v>
      </c>
      <c r="Y76" s="152"/>
    </row>
    <row r="77" spans="1:25" s="41" customFormat="1" ht="12.75">
      <c r="A77" s="5"/>
      <c r="B77" s="27" t="s">
        <v>122</v>
      </c>
      <c r="C77" s="5" t="s">
        <v>77</v>
      </c>
      <c r="D77" s="49">
        <f>D80+D83+D89</f>
        <v>260.4527</v>
      </c>
      <c r="E77" s="21">
        <f aca="true" t="shared" si="49" ref="E77:R77">E80+E83+E89</f>
        <v>287.925</v>
      </c>
      <c r="F77" s="21">
        <f t="shared" si="49"/>
        <v>342.914</v>
      </c>
      <c r="G77" s="21">
        <f t="shared" si="49"/>
        <v>412.0422</v>
      </c>
      <c r="H77" s="21">
        <f t="shared" si="49"/>
        <v>478.45939999999996</v>
      </c>
      <c r="I77" s="21">
        <f t="shared" si="49"/>
        <v>626.2399999999999</v>
      </c>
      <c r="J77" s="21">
        <f t="shared" si="49"/>
        <v>498.217</v>
      </c>
      <c r="K77" s="21">
        <f t="shared" si="49"/>
        <v>498.7683</v>
      </c>
      <c r="L77" s="62">
        <f t="shared" si="43"/>
        <v>104.24464437316941</v>
      </c>
      <c r="M77" s="62">
        <f t="shared" si="44"/>
        <v>79.64491249361268</v>
      </c>
      <c r="N77" s="21">
        <f t="shared" si="49"/>
        <v>626.7882999999999</v>
      </c>
      <c r="O77" s="104">
        <f t="shared" si="42"/>
        <v>125.66722865105899</v>
      </c>
      <c r="P77" s="21">
        <f t="shared" si="49"/>
        <v>743.2449</v>
      </c>
      <c r="Q77" s="21">
        <f t="shared" si="49"/>
        <v>743.2449</v>
      </c>
      <c r="R77" s="21">
        <f t="shared" si="49"/>
        <v>743.2449</v>
      </c>
      <c r="S77" s="21">
        <f>S80+S83+S89</f>
        <v>743.2449</v>
      </c>
      <c r="T77" s="156">
        <f t="shared" si="45"/>
        <v>2020.1088999999997</v>
      </c>
      <c r="U77" s="156">
        <f t="shared" si="46"/>
        <v>3599.7679</v>
      </c>
      <c r="Y77" s="152"/>
    </row>
    <row r="78" spans="1:25" s="41" customFormat="1" ht="12.75">
      <c r="A78" s="5" t="s">
        <v>3</v>
      </c>
      <c r="B78" s="27" t="s">
        <v>80</v>
      </c>
      <c r="C78" s="5" t="s">
        <v>39</v>
      </c>
      <c r="D78" s="49">
        <v>215</v>
      </c>
      <c r="E78" s="21"/>
      <c r="F78" s="21"/>
      <c r="G78" s="21"/>
      <c r="H78" s="21"/>
      <c r="I78" s="21"/>
      <c r="J78" s="21"/>
      <c r="K78" s="21"/>
      <c r="L78" s="62"/>
      <c r="M78" s="62"/>
      <c r="N78" s="21"/>
      <c r="O78" s="104"/>
      <c r="P78" s="21"/>
      <c r="Q78" s="21"/>
      <c r="R78" s="21"/>
      <c r="S78" s="21"/>
      <c r="T78" s="156">
        <f t="shared" si="45"/>
        <v>0</v>
      </c>
      <c r="U78" s="156">
        <f t="shared" si="46"/>
        <v>0</v>
      </c>
      <c r="Y78" s="152"/>
    </row>
    <row r="79" spans="1:25" s="41" customFormat="1" ht="12.75">
      <c r="A79" s="5"/>
      <c r="B79" s="27" t="s">
        <v>93</v>
      </c>
      <c r="C79" s="5" t="s">
        <v>77</v>
      </c>
      <c r="D79" s="49">
        <f>D78*44/1000</f>
        <v>9.46</v>
      </c>
      <c r="E79" s="21">
        <f aca="true" t="shared" si="50" ref="E79:S79">E78*44/1000</f>
        <v>0</v>
      </c>
      <c r="F79" s="21">
        <f t="shared" si="50"/>
        <v>0</v>
      </c>
      <c r="G79" s="21">
        <f t="shared" si="50"/>
        <v>0</v>
      </c>
      <c r="H79" s="21"/>
      <c r="I79" s="21"/>
      <c r="J79" s="21"/>
      <c r="K79" s="21"/>
      <c r="L79" s="62"/>
      <c r="M79" s="62"/>
      <c r="N79" s="21"/>
      <c r="O79" s="104"/>
      <c r="P79" s="21">
        <f t="shared" si="50"/>
        <v>0</v>
      </c>
      <c r="Q79" s="21">
        <f t="shared" si="50"/>
        <v>0</v>
      </c>
      <c r="R79" s="21">
        <f t="shared" si="50"/>
        <v>0</v>
      </c>
      <c r="S79" s="21">
        <f t="shared" si="50"/>
        <v>0</v>
      </c>
      <c r="T79" s="156">
        <f t="shared" si="45"/>
        <v>0</v>
      </c>
      <c r="U79" s="156">
        <f t="shared" si="46"/>
        <v>0</v>
      </c>
      <c r="Y79" s="152"/>
    </row>
    <row r="80" spans="1:25" s="41" customFormat="1" ht="12.75">
      <c r="A80" s="5"/>
      <c r="B80" s="27" t="s">
        <v>122</v>
      </c>
      <c r="C80" s="5" t="s">
        <v>77</v>
      </c>
      <c r="D80" s="49">
        <f>D78*14/1000</f>
        <v>3.01</v>
      </c>
      <c r="E80" s="21">
        <f aca="true" t="shared" si="51" ref="E80:S80">E78*14/1000</f>
        <v>0</v>
      </c>
      <c r="F80" s="21">
        <f t="shared" si="51"/>
        <v>0</v>
      </c>
      <c r="G80" s="21">
        <f t="shared" si="51"/>
        <v>0</v>
      </c>
      <c r="H80" s="21"/>
      <c r="I80" s="21"/>
      <c r="J80" s="21"/>
      <c r="K80" s="21"/>
      <c r="L80" s="62"/>
      <c r="M80" s="62"/>
      <c r="N80" s="21"/>
      <c r="O80" s="104"/>
      <c r="P80" s="21">
        <f t="shared" si="51"/>
        <v>0</v>
      </c>
      <c r="Q80" s="21">
        <f t="shared" si="51"/>
        <v>0</v>
      </c>
      <c r="R80" s="21">
        <f t="shared" si="51"/>
        <v>0</v>
      </c>
      <c r="S80" s="21">
        <f t="shared" si="51"/>
        <v>0</v>
      </c>
      <c r="T80" s="156">
        <f t="shared" si="45"/>
        <v>0</v>
      </c>
      <c r="U80" s="156">
        <f t="shared" si="46"/>
        <v>0</v>
      </c>
      <c r="Y80" s="152"/>
    </row>
    <row r="81" spans="1:25" s="170" customFormat="1" ht="12.75">
      <c r="A81" s="168" t="s">
        <v>3</v>
      </c>
      <c r="B81" s="28" t="s">
        <v>82</v>
      </c>
      <c r="C81" s="169" t="s">
        <v>0</v>
      </c>
      <c r="D81" s="161">
        <v>23565.37</v>
      </c>
      <c r="E81" s="19">
        <v>22683.36</v>
      </c>
      <c r="F81" s="19">
        <v>19934</v>
      </c>
      <c r="G81" s="19">
        <v>16477.5</v>
      </c>
      <c r="H81" s="19">
        <v>13156.640000000001</v>
      </c>
      <c r="I81" s="19">
        <f>I75-I84</f>
        <v>5768</v>
      </c>
      <c r="J81" s="19">
        <f>J75-J84</f>
        <v>12168.7</v>
      </c>
      <c r="K81" s="19">
        <f>K75-K84</f>
        <v>12223.830000000002</v>
      </c>
      <c r="L81" s="62">
        <f t="shared" si="43"/>
        <v>92.90996789453843</v>
      </c>
      <c r="M81" s="62">
        <f t="shared" si="44"/>
        <v>211.92493065187242</v>
      </c>
      <c r="N81" s="19">
        <f>N75-N84</f>
        <v>5822.830000000002</v>
      </c>
      <c r="O81" s="104">
        <f t="shared" si="42"/>
        <v>47.63507018667636</v>
      </c>
      <c r="P81" s="19"/>
      <c r="Q81" s="19"/>
      <c r="R81" s="19"/>
      <c r="S81" s="19">
        <v>0</v>
      </c>
      <c r="T81" s="156">
        <f t="shared" si="45"/>
        <v>84475.33</v>
      </c>
      <c r="U81" s="156">
        <f t="shared" si="46"/>
        <v>5822.830000000002</v>
      </c>
      <c r="Y81" s="152"/>
    </row>
    <row r="82" spans="1:25" s="170" customFormat="1" ht="12.75">
      <c r="A82" s="168"/>
      <c r="B82" s="28" t="s">
        <v>83</v>
      </c>
      <c r="C82" s="10" t="s">
        <v>77</v>
      </c>
      <c r="D82" s="161">
        <f>D81*10/1000</f>
        <v>235.6537</v>
      </c>
      <c r="E82" s="19">
        <f>E81*10/1000</f>
        <v>226.83360000000002</v>
      </c>
      <c r="F82" s="19">
        <f aca="true" t="shared" si="52" ref="F82:S82">F81*10/1000</f>
        <v>199.34</v>
      </c>
      <c r="G82" s="19">
        <f t="shared" si="52"/>
        <v>164.775</v>
      </c>
      <c r="H82" s="19">
        <f t="shared" si="52"/>
        <v>131.56640000000002</v>
      </c>
      <c r="I82" s="19">
        <f t="shared" si="52"/>
        <v>57.68</v>
      </c>
      <c r="J82" s="19">
        <f t="shared" si="52"/>
        <v>121.687</v>
      </c>
      <c r="K82" s="19">
        <f t="shared" si="52"/>
        <v>122.23830000000002</v>
      </c>
      <c r="L82" s="62">
        <f t="shared" si="43"/>
        <v>92.90996789453843</v>
      </c>
      <c r="M82" s="62">
        <f t="shared" si="44"/>
        <v>211.92493065187244</v>
      </c>
      <c r="N82" s="19">
        <f t="shared" si="52"/>
        <v>58.22830000000002</v>
      </c>
      <c r="O82" s="104">
        <f t="shared" si="42"/>
        <v>47.63507018667636</v>
      </c>
      <c r="P82" s="19">
        <f t="shared" si="52"/>
        <v>0</v>
      </c>
      <c r="Q82" s="19">
        <f t="shared" si="52"/>
        <v>0</v>
      </c>
      <c r="R82" s="19">
        <f t="shared" si="52"/>
        <v>0</v>
      </c>
      <c r="S82" s="19">
        <f t="shared" si="52"/>
        <v>0</v>
      </c>
      <c r="T82" s="156">
        <f t="shared" si="45"/>
        <v>844.7533000000001</v>
      </c>
      <c r="U82" s="156">
        <f t="shared" si="46"/>
        <v>58.22830000000002</v>
      </c>
      <c r="Y82" s="152"/>
    </row>
    <row r="83" spans="1:25" s="170" customFormat="1" ht="12.75">
      <c r="A83" s="168"/>
      <c r="B83" s="28" t="s">
        <v>122</v>
      </c>
      <c r="C83" s="10" t="s">
        <v>77</v>
      </c>
      <c r="D83" s="161">
        <f>D81*10/1000</f>
        <v>235.6537</v>
      </c>
      <c r="E83" s="19">
        <f aca="true" t="shared" si="53" ref="E83:S83">E81*10/1000</f>
        <v>226.83360000000002</v>
      </c>
      <c r="F83" s="19">
        <f t="shared" si="53"/>
        <v>199.34</v>
      </c>
      <c r="G83" s="19">
        <f t="shared" si="53"/>
        <v>164.775</v>
      </c>
      <c r="H83" s="19">
        <f t="shared" si="53"/>
        <v>131.56640000000002</v>
      </c>
      <c r="I83" s="19">
        <f t="shared" si="53"/>
        <v>57.68</v>
      </c>
      <c r="J83" s="19">
        <f t="shared" si="53"/>
        <v>121.687</v>
      </c>
      <c r="K83" s="19">
        <f t="shared" si="53"/>
        <v>122.23830000000002</v>
      </c>
      <c r="L83" s="62">
        <f t="shared" si="43"/>
        <v>92.90996789453843</v>
      </c>
      <c r="M83" s="62">
        <f t="shared" si="44"/>
        <v>211.92493065187244</v>
      </c>
      <c r="N83" s="19">
        <f t="shared" si="53"/>
        <v>58.22830000000002</v>
      </c>
      <c r="O83" s="104">
        <f t="shared" si="42"/>
        <v>47.63507018667636</v>
      </c>
      <c r="P83" s="19">
        <f t="shared" si="53"/>
        <v>0</v>
      </c>
      <c r="Q83" s="19">
        <f t="shared" si="53"/>
        <v>0</v>
      </c>
      <c r="R83" s="19">
        <f t="shared" si="53"/>
        <v>0</v>
      </c>
      <c r="S83" s="19">
        <f t="shared" si="53"/>
        <v>0</v>
      </c>
      <c r="T83" s="156">
        <f t="shared" si="45"/>
        <v>844.7533000000001</v>
      </c>
      <c r="U83" s="156">
        <f t="shared" si="46"/>
        <v>58.22830000000002</v>
      </c>
      <c r="Y83" s="152"/>
    </row>
    <row r="84" spans="1:25" s="171" customFormat="1" ht="12.75">
      <c r="A84" s="9" t="s">
        <v>3</v>
      </c>
      <c r="B84" s="28" t="s">
        <v>63</v>
      </c>
      <c r="C84" s="10" t="s">
        <v>0</v>
      </c>
      <c r="D84" s="49">
        <v>726.3</v>
      </c>
      <c r="E84" s="21">
        <v>2036.38</v>
      </c>
      <c r="F84" s="21">
        <v>4785.8</v>
      </c>
      <c r="G84" s="21">
        <v>8242.24</v>
      </c>
      <c r="H84" s="21">
        <v>11563.1</v>
      </c>
      <c r="I84" s="21">
        <v>18952</v>
      </c>
      <c r="J84" s="21">
        <v>12551</v>
      </c>
      <c r="K84" s="21">
        <v>12551</v>
      </c>
      <c r="L84" s="62">
        <f t="shared" si="43"/>
        <v>108.5435566586815</v>
      </c>
      <c r="M84" s="62">
        <f t="shared" si="44"/>
        <v>66.22520050654285</v>
      </c>
      <c r="N84" s="21">
        <v>18952</v>
      </c>
      <c r="O84" s="104">
        <f t="shared" si="42"/>
        <v>150.9999203250737</v>
      </c>
      <c r="P84" s="21">
        <v>24774.83</v>
      </c>
      <c r="Q84" s="21">
        <v>24774.83</v>
      </c>
      <c r="R84" s="21">
        <v>24774.83</v>
      </c>
      <c r="S84" s="21">
        <v>24774.83</v>
      </c>
      <c r="T84" s="156">
        <f t="shared" si="45"/>
        <v>39178.520000000004</v>
      </c>
      <c r="U84" s="156">
        <f t="shared" si="46"/>
        <v>118051.32</v>
      </c>
      <c r="Y84" s="152"/>
    </row>
    <row r="85" spans="1:25" s="171" customFormat="1" ht="12.75">
      <c r="A85" s="9"/>
      <c r="B85" s="28" t="s">
        <v>74</v>
      </c>
      <c r="C85" s="10" t="s">
        <v>55</v>
      </c>
      <c r="D85" s="49">
        <f>12.82*100/40</f>
        <v>32.05</v>
      </c>
      <c r="E85" s="49">
        <v>28.8</v>
      </c>
      <c r="F85" s="49">
        <v>27.8</v>
      </c>
      <c r="G85" s="49">
        <v>33.69</v>
      </c>
      <c r="H85" s="49">
        <v>41.3</v>
      </c>
      <c r="I85" s="49">
        <v>38</v>
      </c>
      <c r="J85" s="49">
        <v>13</v>
      </c>
      <c r="K85" s="49">
        <v>41</v>
      </c>
      <c r="L85" s="62">
        <f t="shared" si="43"/>
        <v>99.27360774818402</v>
      </c>
      <c r="M85" s="62">
        <f t="shared" si="44"/>
        <v>107.89473684210526</v>
      </c>
      <c r="N85" s="49">
        <v>41</v>
      </c>
      <c r="O85" s="104">
        <f t="shared" si="42"/>
        <v>100</v>
      </c>
      <c r="P85" s="49">
        <v>41</v>
      </c>
      <c r="Q85" s="49">
        <v>41</v>
      </c>
      <c r="R85" s="49">
        <v>41</v>
      </c>
      <c r="S85" s="49">
        <v>41</v>
      </c>
      <c r="T85" s="156">
        <f t="shared" si="45"/>
        <v>172.58999999999997</v>
      </c>
      <c r="U85" s="156">
        <f t="shared" si="46"/>
        <v>205</v>
      </c>
      <c r="Y85" s="152"/>
    </row>
    <row r="86" spans="1:25" s="173" customFormat="1" ht="12.75">
      <c r="A86" s="15"/>
      <c r="B86" s="29" t="s">
        <v>57</v>
      </c>
      <c r="C86" s="16" t="s">
        <v>30</v>
      </c>
      <c r="D86" s="161">
        <f>D84*D85/10</f>
        <v>2327.7915</v>
      </c>
      <c r="E86" s="17">
        <f>E84*E85/10</f>
        <v>5864.7744</v>
      </c>
      <c r="F86" s="17">
        <f aca="true" t="shared" si="54" ref="F86:S86">F84*F85/10</f>
        <v>13304.524000000001</v>
      </c>
      <c r="G86" s="17">
        <f t="shared" si="54"/>
        <v>27768.106559999997</v>
      </c>
      <c r="H86" s="17">
        <f t="shared" si="54"/>
        <v>47755.602999999996</v>
      </c>
      <c r="I86" s="17">
        <f t="shared" si="54"/>
        <v>72017.6</v>
      </c>
      <c r="J86" s="17">
        <f t="shared" si="54"/>
        <v>16316.3</v>
      </c>
      <c r="K86" s="17">
        <f>K84*K85/10</f>
        <v>51459.1</v>
      </c>
      <c r="L86" s="62">
        <f t="shared" si="43"/>
        <v>107.75510467326734</v>
      </c>
      <c r="M86" s="62">
        <f t="shared" si="44"/>
        <v>71.45350580969095</v>
      </c>
      <c r="N86" s="17">
        <f>N84*N85/10</f>
        <v>77703.2</v>
      </c>
      <c r="O86" s="104">
        <f t="shared" si="42"/>
        <v>150.9999203250737</v>
      </c>
      <c r="P86" s="17">
        <f t="shared" si="54"/>
        <v>101576.803</v>
      </c>
      <c r="Q86" s="17">
        <f t="shared" si="54"/>
        <v>101576.803</v>
      </c>
      <c r="R86" s="17">
        <f t="shared" si="54"/>
        <v>101576.803</v>
      </c>
      <c r="S86" s="17">
        <f t="shared" si="54"/>
        <v>101576.803</v>
      </c>
      <c r="T86" s="156">
        <f t="shared" si="45"/>
        <v>146152.10796</v>
      </c>
      <c r="U86" s="156">
        <f t="shared" si="46"/>
        <v>484010.412</v>
      </c>
      <c r="V86" s="172"/>
      <c r="Y86" s="152"/>
    </row>
    <row r="87" spans="1:25" s="173" customFormat="1" ht="12.75">
      <c r="A87" s="15"/>
      <c r="B87" s="29" t="s">
        <v>117</v>
      </c>
      <c r="C87" s="16" t="s">
        <v>30</v>
      </c>
      <c r="D87" s="161">
        <f>D86*40/100</f>
        <v>931.1165999999998</v>
      </c>
      <c r="E87" s="17">
        <f>E86*40/100</f>
        <v>2345.9097600000005</v>
      </c>
      <c r="F87" s="17">
        <f>F86*30/100</f>
        <v>3991.3572000000004</v>
      </c>
      <c r="G87" s="17">
        <f>G86*39.8/100</f>
        <v>11051.706410879999</v>
      </c>
      <c r="H87" s="17">
        <f>H86*45.55/100</f>
        <v>21752.677166499998</v>
      </c>
      <c r="I87" s="17">
        <f>I86*32.527/100</f>
        <v>23425.164752</v>
      </c>
      <c r="J87" s="17">
        <f>J86*40/100</f>
        <v>6526.52</v>
      </c>
      <c r="K87" s="17">
        <f>K86*43/100</f>
        <v>22127.412999999997</v>
      </c>
      <c r="L87" s="62">
        <f t="shared" si="43"/>
        <v>101.72271132712393</v>
      </c>
      <c r="M87" s="62">
        <f t="shared" si="44"/>
        <v>94.46001013978267</v>
      </c>
      <c r="N87" s="17">
        <f>N86*40/100</f>
        <v>31081.28</v>
      </c>
      <c r="O87" s="104">
        <f t="shared" si="42"/>
        <v>140.46504216285928</v>
      </c>
      <c r="P87" s="17">
        <f>P86*40/100</f>
        <v>40630.7212</v>
      </c>
      <c r="Q87" s="17">
        <f>Q86*40/100</f>
        <v>40630.7212</v>
      </c>
      <c r="R87" s="17">
        <f>R86*40/100</f>
        <v>40630.7212</v>
      </c>
      <c r="S87" s="17">
        <f>S86*40/100</f>
        <v>40630.7212</v>
      </c>
      <c r="T87" s="156">
        <f t="shared" si="45"/>
        <v>61269.06353737999</v>
      </c>
      <c r="U87" s="156">
        <f t="shared" si="46"/>
        <v>193604.1648</v>
      </c>
      <c r="V87" s="170"/>
      <c r="Y87" s="152"/>
    </row>
    <row r="88" spans="1:25" s="170" customFormat="1" ht="12.75">
      <c r="A88" s="168"/>
      <c r="B88" s="28" t="s">
        <v>79</v>
      </c>
      <c r="C88" s="10" t="s">
        <v>77</v>
      </c>
      <c r="D88" s="161">
        <f>D87*41.529/1000</f>
        <v>38.6683412814</v>
      </c>
      <c r="E88" s="161">
        <f aca="true" t="shared" si="55" ref="E88:S88">E87*41.529/1000</f>
        <v>97.42328642304003</v>
      </c>
      <c r="F88" s="161">
        <f t="shared" si="55"/>
        <v>165.7570731588</v>
      </c>
      <c r="G88" s="161">
        <f t="shared" si="55"/>
        <v>458.96631553743555</v>
      </c>
      <c r="H88" s="161">
        <f t="shared" si="55"/>
        <v>903.3669300475785</v>
      </c>
      <c r="I88" s="161">
        <f t="shared" si="55"/>
        <v>972.823666985808</v>
      </c>
      <c r="J88" s="161">
        <f t="shared" si="55"/>
        <v>271.03984908</v>
      </c>
      <c r="K88" s="161">
        <f t="shared" si="55"/>
        <v>918.9293344769999</v>
      </c>
      <c r="L88" s="62">
        <f t="shared" si="43"/>
        <v>101.72271132712393</v>
      </c>
      <c r="M88" s="62">
        <f t="shared" si="44"/>
        <v>94.46001013978267</v>
      </c>
      <c r="N88" s="161">
        <f t="shared" si="55"/>
        <v>1290.7744771200003</v>
      </c>
      <c r="O88" s="104">
        <f t="shared" si="42"/>
        <v>140.4650421628593</v>
      </c>
      <c r="P88" s="161">
        <f t="shared" si="55"/>
        <v>1687.3532207148</v>
      </c>
      <c r="Q88" s="161">
        <f t="shared" si="55"/>
        <v>1687.3532207148</v>
      </c>
      <c r="R88" s="161">
        <f t="shared" si="55"/>
        <v>1687.3532207148</v>
      </c>
      <c r="S88" s="161">
        <f t="shared" si="55"/>
        <v>1687.3532207148</v>
      </c>
      <c r="T88" s="156">
        <f t="shared" si="45"/>
        <v>2544.442939643854</v>
      </c>
      <c r="U88" s="156">
        <f t="shared" si="46"/>
        <v>8040.187359979201</v>
      </c>
      <c r="Y88" s="152"/>
    </row>
    <row r="89" spans="1:25" s="170" customFormat="1" ht="12.75">
      <c r="A89" s="168"/>
      <c r="B89" s="28" t="s">
        <v>122</v>
      </c>
      <c r="C89" s="10" t="s">
        <v>77</v>
      </c>
      <c r="D89" s="161">
        <f>D84*30/1000</f>
        <v>21.789</v>
      </c>
      <c r="E89" s="19">
        <f>E84*30/1000</f>
        <v>61.0914</v>
      </c>
      <c r="F89" s="19">
        <f aca="true" t="shared" si="56" ref="F89:S89">F84*30/1000</f>
        <v>143.574</v>
      </c>
      <c r="G89" s="19">
        <f t="shared" si="56"/>
        <v>247.26719999999997</v>
      </c>
      <c r="H89" s="19">
        <f t="shared" si="56"/>
        <v>346.893</v>
      </c>
      <c r="I89" s="19">
        <f t="shared" si="56"/>
        <v>568.56</v>
      </c>
      <c r="J89" s="19">
        <f>J84*30/1000</f>
        <v>376.53</v>
      </c>
      <c r="K89" s="19">
        <f t="shared" si="56"/>
        <v>376.53</v>
      </c>
      <c r="L89" s="62">
        <f t="shared" si="43"/>
        <v>108.5435566586815</v>
      </c>
      <c r="M89" s="62">
        <f t="shared" si="44"/>
        <v>66.22520050654285</v>
      </c>
      <c r="N89" s="19">
        <f>N84*30/1000</f>
        <v>568.56</v>
      </c>
      <c r="O89" s="104">
        <f t="shared" si="42"/>
        <v>150.9999203250737</v>
      </c>
      <c r="P89" s="19">
        <f t="shared" si="56"/>
        <v>743.2449</v>
      </c>
      <c r="Q89" s="19">
        <f t="shared" si="56"/>
        <v>743.2449</v>
      </c>
      <c r="R89" s="19">
        <f t="shared" si="56"/>
        <v>743.2449</v>
      </c>
      <c r="S89" s="19">
        <f t="shared" si="56"/>
        <v>743.2449</v>
      </c>
      <c r="T89" s="156">
        <f t="shared" si="45"/>
        <v>1175.3555999999999</v>
      </c>
      <c r="U89" s="156">
        <f t="shared" si="46"/>
        <v>3541.5396</v>
      </c>
      <c r="Y89" s="152"/>
    </row>
    <row r="90" spans="1:25" s="41" customFormat="1" ht="12.75">
      <c r="A90" s="5" t="s">
        <v>12</v>
      </c>
      <c r="B90" s="27" t="s">
        <v>43</v>
      </c>
      <c r="C90" s="5" t="s">
        <v>0</v>
      </c>
      <c r="D90" s="49">
        <f>D93+D95+D97</f>
        <v>9</v>
      </c>
      <c r="E90" s="21">
        <f>E93+E95+E97</f>
        <v>17.8</v>
      </c>
      <c r="F90" s="21">
        <f>F93+F95+F97</f>
        <v>24.099999999999994</v>
      </c>
      <c r="G90" s="21">
        <f>G93+G95+G97</f>
        <v>24.2</v>
      </c>
      <c r="H90" s="21">
        <f>H93+H95+H97</f>
        <v>23.2</v>
      </c>
      <c r="I90" s="21">
        <v>35</v>
      </c>
      <c r="J90" s="21">
        <v>18</v>
      </c>
      <c r="K90" s="21">
        <v>18</v>
      </c>
      <c r="L90" s="62">
        <f t="shared" si="43"/>
        <v>77.58620689655173</v>
      </c>
      <c r="M90" s="62">
        <f t="shared" si="44"/>
        <v>51.42857142857142</v>
      </c>
      <c r="N90" s="21">
        <v>18</v>
      </c>
      <c r="O90" s="104">
        <f t="shared" si="42"/>
        <v>100</v>
      </c>
      <c r="P90" s="21">
        <f>P93+P95+P97</f>
        <v>24.2</v>
      </c>
      <c r="Q90" s="21">
        <f>Q93+Q95+Q97</f>
        <v>24.2</v>
      </c>
      <c r="R90" s="21">
        <f>R93+R95+R97</f>
        <v>24.2</v>
      </c>
      <c r="S90" s="21">
        <f>S93+S95+S97</f>
        <v>24.2</v>
      </c>
      <c r="T90" s="156">
        <f t="shared" si="45"/>
        <v>107.3</v>
      </c>
      <c r="U90" s="156">
        <f t="shared" si="46"/>
        <v>114.8</v>
      </c>
      <c r="Y90" s="152"/>
    </row>
    <row r="91" spans="1:25" s="41" customFormat="1" ht="12.75">
      <c r="A91" s="5"/>
      <c r="B91" s="27" t="s">
        <v>85</v>
      </c>
      <c r="C91" s="5" t="s">
        <v>77</v>
      </c>
      <c r="D91" s="49">
        <f>D94+D96+D100</f>
        <v>0.55</v>
      </c>
      <c r="E91" s="21">
        <f>E94+E96+E100</f>
        <v>1.1500000000000001</v>
      </c>
      <c r="F91" s="21">
        <f aca="true" t="shared" si="57" ref="F91:S91">F94+F96+F100</f>
        <v>1.7909879999999996</v>
      </c>
      <c r="G91" s="21">
        <f t="shared" si="57"/>
        <v>2.9393824</v>
      </c>
      <c r="H91" s="21">
        <f t="shared" si="57"/>
        <v>2.1208508999999998</v>
      </c>
      <c r="I91" s="21">
        <f>I94+I96+I100</f>
        <v>4.881140080000001</v>
      </c>
      <c r="J91" s="21">
        <f>J94+J96+J100</f>
        <v>0.21</v>
      </c>
      <c r="K91" s="21">
        <f>K94+K96+K100</f>
        <v>2.175435</v>
      </c>
      <c r="L91" s="62">
        <f t="shared" si="43"/>
        <v>102.5736887020205</v>
      </c>
      <c r="M91" s="62">
        <f t="shared" si="44"/>
        <v>44.56817391727056</v>
      </c>
      <c r="N91" s="21">
        <f>N94+N96+N100</f>
        <v>2.8715742</v>
      </c>
      <c r="O91" s="104">
        <f t="shared" si="42"/>
        <v>132</v>
      </c>
      <c r="P91" s="21">
        <f t="shared" si="57"/>
        <v>2.833894</v>
      </c>
      <c r="Q91" s="21">
        <f t="shared" si="57"/>
        <v>2.9247515</v>
      </c>
      <c r="R91" s="21">
        <f t="shared" si="57"/>
        <v>2.9247515</v>
      </c>
      <c r="S91" s="21">
        <f t="shared" si="57"/>
        <v>2.9247515</v>
      </c>
      <c r="T91" s="156">
        <f t="shared" si="45"/>
        <v>10.176656300000001</v>
      </c>
      <c r="U91" s="156">
        <f t="shared" si="46"/>
        <v>14.479722699999998</v>
      </c>
      <c r="Y91" s="152"/>
    </row>
    <row r="92" spans="1:25" s="41" customFormat="1" ht="12.75">
      <c r="A92" s="5"/>
      <c r="B92" s="27" t="s">
        <v>122</v>
      </c>
      <c r="C92" s="5" t="s">
        <v>77</v>
      </c>
      <c r="D92" s="49">
        <f>D91*30%*9.6%</f>
        <v>0.01584</v>
      </c>
      <c r="E92" s="21">
        <f aca="true" t="shared" si="58" ref="E92:S92">E91*30%*9.6%</f>
        <v>0.033120000000000004</v>
      </c>
      <c r="F92" s="21">
        <f t="shared" si="58"/>
        <v>0.05158045439999999</v>
      </c>
      <c r="G92" s="21">
        <f t="shared" si="58"/>
        <v>0.08465421312</v>
      </c>
      <c r="H92" s="21">
        <f t="shared" si="58"/>
        <v>0.06108050591999999</v>
      </c>
      <c r="I92" s="21">
        <f>I91*30%*9.6%</f>
        <v>0.14057683430400003</v>
      </c>
      <c r="J92" s="21">
        <f>J91*30%*9.6%</f>
        <v>0.006048</v>
      </c>
      <c r="K92" s="21">
        <f t="shared" si="58"/>
        <v>0.06265252799999999</v>
      </c>
      <c r="L92" s="62">
        <f t="shared" si="43"/>
        <v>102.57368870202048</v>
      </c>
      <c r="M92" s="62">
        <f t="shared" si="44"/>
        <v>44.568173917270556</v>
      </c>
      <c r="N92" s="21">
        <f t="shared" si="58"/>
        <v>0.08270133696</v>
      </c>
      <c r="O92" s="104">
        <f t="shared" si="42"/>
        <v>132.00000000000003</v>
      </c>
      <c r="P92" s="21">
        <f t="shared" si="58"/>
        <v>0.08161614719999999</v>
      </c>
      <c r="Q92" s="21">
        <f t="shared" si="58"/>
        <v>0.0842328432</v>
      </c>
      <c r="R92" s="21">
        <f t="shared" si="58"/>
        <v>0.0842328432</v>
      </c>
      <c r="S92" s="21">
        <f t="shared" si="58"/>
        <v>0.0842328432</v>
      </c>
      <c r="T92" s="156">
        <f t="shared" si="45"/>
        <v>0.29308770143999996</v>
      </c>
      <c r="U92" s="156">
        <f t="shared" si="46"/>
        <v>0.41701601376</v>
      </c>
      <c r="Y92" s="152"/>
    </row>
    <row r="93" spans="1:25" s="41" customFormat="1" ht="12.75">
      <c r="A93" s="5" t="s">
        <v>3</v>
      </c>
      <c r="B93" s="27" t="s">
        <v>80</v>
      </c>
      <c r="C93" s="5" t="s">
        <v>39</v>
      </c>
      <c r="D93" s="49">
        <v>4</v>
      </c>
      <c r="E93" s="21">
        <v>8.8</v>
      </c>
      <c r="F93" s="21">
        <f>24.15-17.8</f>
        <v>6.349999999999998</v>
      </c>
      <c r="G93" s="21"/>
      <c r="H93" s="21"/>
      <c r="I93" s="21">
        <f>I90-H90</f>
        <v>11.8</v>
      </c>
      <c r="J93" s="21"/>
      <c r="K93" s="21">
        <v>0</v>
      </c>
      <c r="L93" s="62"/>
      <c r="M93" s="62">
        <f t="shared" si="44"/>
        <v>0</v>
      </c>
      <c r="N93" s="21">
        <v>0</v>
      </c>
      <c r="O93" s="104"/>
      <c r="P93" s="21"/>
      <c r="Q93" s="21"/>
      <c r="R93" s="21"/>
      <c r="S93" s="21"/>
      <c r="T93" s="156">
        <f t="shared" si="45"/>
        <v>15.149999999999999</v>
      </c>
      <c r="U93" s="156">
        <f t="shared" si="46"/>
        <v>0</v>
      </c>
      <c r="Y93" s="152"/>
    </row>
    <row r="94" spans="1:25" s="41" customFormat="1" ht="12.75">
      <c r="A94" s="5"/>
      <c r="B94" s="27" t="s">
        <v>93</v>
      </c>
      <c r="C94" s="5" t="s">
        <v>77</v>
      </c>
      <c r="D94" s="49">
        <f>D93*100/1000</f>
        <v>0.4</v>
      </c>
      <c r="E94" s="21">
        <f aca="true" t="shared" si="59" ref="E94:S94">E93*100/1000</f>
        <v>0.8800000000000001</v>
      </c>
      <c r="F94" s="21">
        <f t="shared" si="59"/>
        <v>0.6349999999999998</v>
      </c>
      <c r="G94" s="21">
        <f t="shared" si="59"/>
        <v>0</v>
      </c>
      <c r="H94" s="21">
        <f t="shared" si="59"/>
        <v>0</v>
      </c>
      <c r="I94" s="21">
        <f t="shared" si="59"/>
        <v>1.18</v>
      </c>
      <c r="J94" s="21"/>
      <c r="K94" s="21">
        <f t="shared" si="59"/>
        <v>0</v>
      </c>
      <c r="L94" s="62"/>
      <c r="M94" s="62">
        <f t="shared" si="44"/>
        <v>0</v>
      </c>
      <c r="N94" s="21">
        <f>N93*100/1000</f>
        <v>0</v>
      </c>
      <c r="O94" s="104"/>
      <c r="P94" s="21">
        <f t="shared" si="59"/>
        <v>0</v>
      </c>
      <c r="Q94" s="21">
        <f t="shared" si="59"/>
        <v>0</v>
      </c>
      <c r="R94" s="21">
        <f t="shared" si="59"/>
        <v>0</v>
      </c>
      <c r="S94" s="21">
        <f t="shared" si="59"/>
        <v>0</v>
      </c>
      <c r="T94" s="156">
        <f t="shared" si="45"/>
        <v>1.515</v>
      </c>
      <c r="U94" s="156">
        <f t="shared" si="46"/>
        <v>0</v>
      </c>
      <c r="Y94" s="152"/>
    </row>
    <row r="95" spans="1:25" s="41" customFormat="1" ht="12.75">
      <c r="A95" s="5" t="s">
        <v>3</v>
      </c>
      <c r="B95" s="27" t="s">
        <v>82</v>
      </c>
      <c r="C95" s="5" t="s">
        <v>39</v>
      </c>
      <c r="D95" s="49">
        <v>5</v>
      </c>
      <c r="E95" s="21">
        <v>9</v>
      </c>
      <c r="F95" s="21">
        <f>24.15-11.4</f>
        <v>12.749999999999998</v>
      </c>
      <c r="G95" s="21">
        <f>24.2-17.75</f>
        <v>6.449999999999999</v>
      </c>
      <c r="H95" s="21">
        <v>12.2</v>
      </c>
      <c r="I95" s="21">
        <f>I90-I93-I97</f>
        <v>0</v>
      </c>
      <c r="J95" s="21">
        <f>J90-J97</f>
        <v>7</v>
      </c>
      <c r="K95" s="21">
        <v>0</v>
      </c>
      <c r="L95" s="62">
        <f t="shared" si="43"/>
        <v>0</v>
      </c>
      <c r="M95" s="62"/>
      <c r="N95" s="21">
        <f>N90-N93-N97</f>
        <v>0</v>
      </c>
      <c r="O95" s="104"/>
      <c r="P95" s="21">
        <v>1</v>
      </c>
      <c r="Q95" s="21"/>
      <c r="R95" s="21"/>
      <c r="S95" s="21">
        <v>0</v>
      </c>
      <c r="T95" s="156">
        <f t="shared" si="45"/>
        <v>40.4</v>
      </c>
      <c r="U95" s="156">
        <f t="shared" si="46"/>
        <v>1</v>
      </c>
      <c r="Y95" s="152"/>
    </row>
    <row r="96" spans="1:25" s="41" customFormat="1" ht="12.75">
      <c r="A96" s="5"/>
      <c r="B96" s="27" t="s">
        <v>97</v>
      </c>
      <c r="C96" s="5" t="s">
        <v>77</v>
      </c>
      <c r="D96" s="49">
        <f>D95*30/1000</f>
        <v>0.15</v>
      </c>
      <c r="E96" s="21">
        <f aca="true" t="shared" si="60" ref="E96:S96">E95*30/1000</f>
        <v>0.27</v>
      </c>
      <c r="F96" s="21">
        <f t="shared" si="60"/>
        <v>0.38249999999999995</v>
      </c>
      <c r="G96" s="21">
        <f t="shared" si="60"/>
        <v>0.19349999999999998</v>
      </c>
      <c r="H96" s="21">
        <f t="shared" si="60"/>
        <v>0.366</v>
      </c>
      <c r="I96" s="21">
        <f t="shared" si="60"/>
        <v>0</v>
      </c>
      <c r="J96" s="21">
        <f t="shared" si="60"/>
        <v>0.21</v>
      </c>
      <c r="K96" s="21">
        <f t="shared" si="60"/>
        <v>0</v>
      </c>
      <c r="L96" s="62">
        <f t="shared" si="43"/>
        <v>0</v>
      </c>
      <c r="M96" s="62"/>
      <c r="N96" s="21">
        <f t="shared" si="60"/>
        <v>0</v>
      </c>
      <c r="O96" s="104"/>
      <c r="P96" s="21">
        <f t="shared" si="60"/>
        <v>0.03</v>
      </c>
      <c r="Q96" s="21">
        <f t="shared" si="60"/>
        <v>0</v>
      </c>
      <c r="R96" s="21">
        <f t="shared" si="60"/>
        <v>0</v>
      </c>
      <c r="S96" s="21">
        <f t="shared" si="60"/>
        <v>0</v>
      </c>
      <c r="T96" s="156">
        <f t="shared" si="45"/>
        <v>1.212</v>
      </c>
      <c r="U96" s="156">
        <f t="shared" si="46"/>
        <v>0.03</v>
      </c>
      <c r="Y96" s="152"/>
    </row>
    <row r="97" spans="1:25" s="41" customFormat="1" ht="12.75">
      <c r="A97" s="9" t="s">
        <v>3</v>
      </c>
      <c r="B97" s="28" t="s">
        <v>63</v>
      </c>
      <c r="C97" s="10" t="s">
        <v>0</v>
      </c>
      <c r="D97" s="49"/>
      <c r="E97" s="21"/>
      <c r="F97" s="21">
        <v>5</v>
      </c>
      <c r="G97" s="21">
        <v>17.75</v>
      </c>
      <c r="H97" s="21">
        <v>11</v>
      </c>
      <c r="I97" s="21">
        <v>23.2</v>
      </c>
      <c r="J97" s="21">
        <v>11</v>
      </c>
      <c r="K97" s="21">
        <v>18</v>
      </c>
      <c r="L97" s="62">
        <f t="shared" si="43"/>
        <v>163.63636363636365</v>
      </c>
      <c r="M97" s="62">
        <f t="shared" si="44"/>
        <v>77.58620689655173</v>
      </c>
      <c r="N97" s="21">
        <v>18</v>
      </c>
      <c r="O97" s="104">
        <f t="shared" si="42"/>
        <v>100</v>
      </c>
      <c r="P97" s="21">
        <v>23.2</v>
      </c>
      <c r="Q97" s="21">
        <v>24.2</v>
      </c>
      <c r="R97" s="21">
        <v>24.2</v>
      </c>
      <c r="S97" s="21">
        <v>24.2</v>
      </c>
      <c r="T97" s="156">
        <f t="shared" si="45"/>
        <v>51.75</v>
      </c>
      <c r="U97" s="156">
        <f t="shared" si="46"/>
        <v>113.8</v>
      </c>
      <c r="Y97" s="152"/>
    </row>
    <row r="98" spans="1:25" s="41" customFormat="1" ht="12.75">
      <c r="A98" s="9"/>
      <c r="B98" s="28" t="s">
        <v>42</v>
      </c>
      <c r="C98" s="10" t="s">
        <v>55</v>
      </c>
      <c r="D98" s="49"/>
      <c r="E98" s="21"/>
      <c r="F98" s="21">
        <v>32</v>
      </c>
      <c r="G98" s="21">
        <v>32</v>
      </c>
      <c r="H98" s="21">
        <v>33</v>
      </c>
      <c r="I98" s="21">
        <v>33</v>
      </c>
      <c r="J98" s="21"/>
      <c r="K98" s="21">
        <v>25</v>
      </c>
      <c r="L98" s="62">
        <f t="shared" si="43"/>
        <v>75.75757575757575</v>
      </c>
      <c r="M98" s="62">
        <f t="shared" si="44"/>
        <v>75.75757575757575</v>
      </c>
      <c r="N98" s="21">
        <v>33</v>
      </c>
      <c r="O98" s="104">
        <f t="shared" si="42"/>
        <v>132</v>
      </c>
      <c r="P98" s="21">
        <v>25</v>
      </c>
      <c r="Q98" s="21">
        <v>25</v>
      </c>
      <c r="R98" s="21">
        <v>25</v>
      </c>
      <c r="S98" s="21">
        <v>25</v>
      </c>
      <c r="T98" s="156">
        <f t="shared" si="45"/>
        <v>122</v>
      </c>
      <c r="U98" s="156">
        <f t="shared" si="46"/>
        <v>133</v>
      </c>
      <c r="Y98" s="152"/>
    </row>
    <row r="99" spans="1:25" s="41" customFormat="1" ht="12.75">
      <c r="A99" s="9"/>
      <c r="B99" s="28" t="s">
        <v>57</v>
      </c>
      <c r="C99" s="10" t="s">
        <v>30</v>
      </c>
      <c r="D99" s="49"/>
      <c r="E99" s="21"/>
      <c r="F99" s="19">
        <f aca="true" t="shared" si="61" ref="F99:S99">F97*F98/10</f>
        <v>16</v>
      </c>
      <c r="G99" s="19">
        <f t="shared" si="61"/>
        <v>56.8</v>
      </c>
      <c r="H99" s="19">
        <f t="shared" si="61"/>
        <v>36.3</v>
      </c>
      <c r="I99" s="19">
        <f t="shared" si="61"/>
        <v>76.56</v>
      </c>
      <c r="J99" s="19"/>
      <c r="K99" s="19">
        <f t="shared" si="61"/>
        <v>45</v>
      </c>
      <c r="L99" s="62">
        <f t="shared" si="43"/>
        <v>123.96694214876034</v>
      </c>
      <c r="M99" s="62">
        <f t="shared" si="44"/>
        <v>58.777429467084644</v>
      </c>
      <c r="N99" s="19">
        <f>N97*N98/10</f>
        <v>59.4</v>
      </c>
      <c r="O99" s="104">
        <f t="shared" si="42"/>
        <v>132</v>
      </c>
      <c r="P99" s="19">
        <f t="shared" si="61"/>
        <v>58</v>
      </c>
      <c r="Q99" s="19">
        <f t="shared" si="61"/>
        <v>60.5</v>
      </c>
      <c r="R99" s="19">
        <f t="shared" si="61"/>
        <v>60.5</v>
      </c>
      <c r="S99" s="19">
        <f t="shared" si="61"/>
        <v>60.5</v>
      </c>
      <c r="T99" s="156">
        <f t="shared" si="45"/>
        <v>154.1</v>
      </c>
      <c r="U99" s="156">
        <f t="shared" si="46"/>
        <v>298.9</v>
      </c>
      <c r="Y99" s="152"/>
    </row>
    <row r="100" spans="1:25" s="41" customFormat="1" ht="12.75">
      <c r="A100" s="9"/>
      <c r="B100" s="28" t="s">
        <v>79</v>
      </c>
      <c r="C100" s="10" t="s">
        <v>77</v>
      </c>
      <c r="D100" s="49">
        <f>D99*48.343/1000</f>
        <v>0</v>
      </c>
      <c r="E100" s="49">
        <f aca="true" t="shared" si="62" ref="E100:S100">E99*48.343/1000</f>
        <v>0</v>
      </c>
      <c r="F100" s="49">
        <f t="shared" si="62"/>
        <v>0.7734880000000001</v>
      </c>
      <c r="G100" s="49">
        <f t="shared" si="62"/>
        <v>2.7458824</v>
      </c>
      <c r="H100" s="49">
        <f t="shared" si="62"/>
        <v>1.7548508999999999</v>
      </c>
      <c r="I100" s="49">
        <f t="shared" si="62"/>
        <v>3.7011400800000005</v>
      </c>
      <c r="J100" s="49">
        <f t="shared" si="62"/>
        <v>0</v>
      </c>
      <c r="K100" s="49">
        <f t="shared" si="62"/>
        <v>2.175435</v>
      </c>
      <c r="L100" s="62">
        <f t="shared" si="43"/>
        <v>123.96694214876032</v>
      </c>
      <c r="M100" s="62">
        <f t="shared" si="44"/>
        <v>58.77742946708463</v>
      </c>
      <c r="N100" s="49">
        <f t="shared" si="62"/>
        <v>2.8715742</v>
      </c>
      <c r="O100" s="104">
        <f t="shared" si="62"/>
        <v>6.381276000000001</v>
      </c>
      <c r="P100" s="49">
        <f t="shared" si="62"/>
        <v>2.803894</v>
      </c>
      <c r="Q100" s="49">
        <f t="shared" si="62"/>
        <v>2.9247515</v>
      </c>
      <c r="R100" s="49">
        <f t="shared" si="62"/>
        <v>2.9247515</v>
      </c>
      <c r="S100" s="49">
        <f t="shared" si="62"/>
        <v>2.9247515</v>
      </c>
      <c r="T100" s="156">
        <f t="shared" si="45"/>
        <v>7.449656299999999</v>
      </c>
      <c r="U100" s="156">
        <f t="shared" si="46"/>
        <v>14.4497227</v>
      </c>
      <c r="Y100" s="152"/>
    </row>
    <row r="101" spans="1:25" s="41" customFormat="1" ht="12.75">
      <c r="A101" s="5" t="s">
        <v>25</v>
      </c>
      <c r="B101" s="27" t="s">
        <v>36</v>
      </c>
      <c r="C101" s="5" t="s">
        <v>0</v>
      </c>
      <c r="D101" s="49">
        <f>D104+D106+D108</f>
        <v>174</v>
      </c>
      <c r="E101" s="21">
        <f>E104+E106+E108</f>
        <v>236</v>
      </c>
      <c r="F101" s="21">
        <f>F104+F106+F108</f>
        <v>631</v>
      </c>
      <c r="G101" s="21">
        <f>G104+G106+G108</f>
        <v>727.1</v>
      </c>
      <c r="H101" s="21">
        <f>H104+H106+H108</f>
        <v>816.9</v>
      </c>
      <c r="I101" s="21">
        <v>1000</v>
      </c>
      <c r="J101" s="21">
        <v>831.9</v>
      </c>
      <c r="K101" s="21">
        <v>887</v>
      </c>
      <c r="L101" s="62">
        <f t="shared" si="43"/>
        <v>108.58122169176154</v>
      </c>
      <c r="M101" s="62">
        <f t="shared" si="44"/>
        <v>88.7</v>
      </c>
      <c r="N101" s="21">
        <v>1000</v>
      </c>
      <c r="O101" s="104">
        <f t="shared" si="42"/>
        <v>112.73957158962796</v>
      </c>
      <c r="P101" s="21">
        <f>P104+P106+P108</f>
        <v>830</v>
      </c>
      <c r="Q101" s="21">
        <f>Q104+Q106+Q108</f>
        <v>835</v>
      </c>
      <c r="R101" s="21">
        <f>R104+R106+R108</f>
        <v>840.9</v>
      </c>
      <c r="S101" s="21">
        <f>S104+S106+S108</f>
        <v>850</v>
      </c>
      <c r="T101" s="156">
        <f t="shared" si="45"/>
        <v>3298</v>
      </c>
      <c r="U101" s="156">
        <f t="shared" si="46"/>
        <v>4355.9</v>
      </c>
      <c r="Y101" s="152"/>
    </row>
    <row r="102" spans="1:25" s="41" customFormat="1" ht="12.75">
      <c r="A102" s="5"/>
      <c r="B102" s="27" t="s">
        <v>85</v>
      </c>
      <c r="C102" s="5" t="s">
        <v>77</v>
      </c>
      <c r="D102" s="49">
        <f>D105+D107+D111</f>
        <v>5.145</v>
      </c>
      <c r="E102" s="21">
        <f>E105+E107+E111</f>
        <v>2.73</v>
      </c>
      <c r="F102" s="21">
        <f aca="true" t="shared" si="63" ref="F102:S102">F105+F107+F111</f>
        <v>13.03</v>
      </c>
      <c r="G102" s="21">
        <f t="shared" si="63"/>
        <v>6.287528</v>
      </c>
      <c r="H102" s="21">
        <f t="shared" si="63"/>
        <v>7.635725119999998</v>
      </c>
      <c r="I102" s="21">
        <f>I105+I107+I111</f>
        <v>10.8304392</v>
      </c>
      <c r="J102" s="21"/>
      <c r="K102" s="21">
        <f t="shared" si="63"/>
        <v>8.196696000000001</v>
      </c>
      <c r="L102" s="62">
        <f t="shared" si="43"/>
        <v>107.34666153094838</v>
      </c>
      <c r="M102" s="62">
        <f t="shared" si="44"/>
        <v>75.68202774269764</v>
      </c>
      <c r="N102" s="21">
        <f>N105+N107+N111</f>
        <v>12.865559999999999</v>
      </c>
      <c r="O102" s="104">
        <f t="shared" si="42"/>
        <v>156.9603166934579</v>
      </c>
      <c r="P102" s="21">
        <f t="shared" si="63"/>
        <v>8.818704799999999</v>
      </c>
      <c r="Q102" s="21">
        <f t="shared" si="63"/>
        <v>9.53570168</v>
      </c>
      <c r="R102" s="21">
        <f t="shared" si="63"/>
        <v>10.211833519999999</v>
      </c>
      <c r="S102" s="21">
        <f t="shared" si="63"/>
        <v>10.404656</v>
      </c>
      <c r="T102" s="156">
        <f t="shared" si="45"/>
        <v>37.87994912</v>
      </c>
      <c r="U102" s="156">
        <f t="shared" si="46"/>
        <v>51.836456</v>
      </c>
      <c r="Y102" s="152"/>
    </row>
    <row r="103" spans="1:25" s="41" customFormat="1" ht="12.75">
      <c r="A103" s="5"/>
      <c r="B103" s="27" t="s">
        <v>122</v>
      </c>
      <c r="C103" s="5" t="s">
        <v>77</v>
      </c>
      <c r="D103" s="49">
        <f>D102*30%*9.6%</f>
        <v>0.148176</v>
      </c>
      <c r="E103" s="21">
        <f aca="true" t="shared" si="64" ref="E103:S103">E102*30%*9.6%</f>
        <v>0.078624</v>
      </c>
      <c r="F103" s="21">
        <f t="shared" si="64"/>
        <v>0.375264</v>
      </c>
      <c r="G103" s="21">
        <f t="shared" si="64"/>
        <v>0.18108080640000002</v>
      </c>
      <c r="H103" s="21">
        <f t="shared" si="64"/>
        <v>0.21990888345599996</v>
      </c>
      <c r="I103" s="21">
        <f>I102*30%*9.6%</f>
        <v>0.31191664896</v>
      </c>
      <c r="J103" s="21">
        <f>J102*30%*9.6%</f>
        <v>0</v>
      </c>
      <c r="K103" s="21">
        <f>K102*30%*9.6%</f>
        <v>0.23606484480000003</v>
      </c>
      <c r="L103" s="62">
        <f t="shared" si="43"/>
        <v>107.34666153094838</v>
      </c>
      <c r="M103" s="62">
        <f t="shared" si="44"/>
        <v>75.68202774269766</v>
      </c>
      <c r="N103" s="21">
        <f>N102*30%*9.6%</f>
        <v>0.37052812799999996</v>
      </c>
      <c r="O103" s="104">
        <f t="shared" si="42"/>
        <v>156.9603166934579</v>
      </c>
      <c r="P103" s="21">
        <f t="shared" si="64"/>
        <v>0.25397869823999997</v>
      </c>
      <c r="Q103" s="21">
        <f t="shared" si="64"/>
        <v>0.274628208384</v>
      </c>
      <c r="R103" s="21">
        <f t="shared" si="64"/>
        <v>0.294100805376</v>
      </c>
      <c r="S103" s="21">
        <f t="shared" si="64"/>
        <v>0.2996540928</v>
      </c>
      <c r="T103" s="156">
        <f t="shared" si="45"/>
        <v>1.090942534656</v>
      </c>
      <c r="U103" s="156">
        <f t="shared" si="46"/>
        <v>1.4928899327999998</v>
      </c>
      <c r="Y103" s="152"/>
    </row>
    <row r="104" spans="1:25" s="41" customFormat="1" ht="12.75">
      <c r="A104" s="5" t="s">
        <v>3</v>
      </c>
      <c r="B104" s="27" t="s">
        <v>80</v>
      </c>
      <c r="C104" s="5" t="s">
        <v>39</v>
      </c>
      <c r="D104" s="49">
        <v>171</v>
      </c>
      <c r="E104" s="21">
        <v>62</v>
      </c>
      <c r="F104" s="21">
        <f>631-236</f>
        <v>395</v>
      </c>
      <c r="G104" s="21">
        <f>727-631</f>
        <v>96</v>
      </c>
      <c r="H104" s="21">
        <f>816.9-727.1</f>
        <v>89.79999999999995</v>
      </c>
      <c r="I104" s="21">
        <f>I101-H101</f>
        <v>183.10000000000002</v>
      </c>
      <c r="J104" s="21">
        <f>J101-H101</f>
        <v>15</v>
      </c>
      <c r="K104" s="21">
        <f>887-816.9</f>
        <v>70.10000000000002</v>
      </c>
      <c r="L104" s="62">
        <f t="shared" si="43"/>
        <v>78.06236080178181</v>
      </c>
      <c r="M104" s="62">
        <f t="shared" si="44"/>
        <v>38.285090114691435</v>
      </c>
      <c r="N104" s="21">
        <f>N101-K101</f>
        <v>113</v>
      </c>
      <c r="O104" s="104">
        <f t="shared" si="42"/>
        <v>161.19828815977172</v>
      </c>
      <c r="P104" s="21">
        <v>5</v>
      </c>
      <c r="Q104" s="21">
        <v>5</v>
      </c>
      <c r="R104" s="21">
        <v>5</v>
      </c>
      <c r="S104" s="21">
        <v>10</v>
      </c>
      <c r="T104" s="156">
        <f t="shared" si="45"/>
        <v>712.9</v>
      </c>
      <c r="U104" s="156">
        <f t="shared" si="46"/>
        <v>138</v>
      </c>
      <c r="Y104" s="152"/>
    </row>
    <row r="105" spans="1:25" s="41" customFormat="1" ht="12.75">
      <c r="A105" s="5"/>
      <c r="B105" s="27" t="s">
        <v>98</v>
      </c>
      <c r="C105" s="5" t="s">
        <v>77</v>
      </c>
      <c r="D105" s="49">
        <f aca="true" t="shared" si="65" ref="D105:S105">D104*30/1000</f>
        <v>5.13</v>
      </c>
      <c r="E105" s="21">
        <f t="shared" si="65"/>
        <v>1.86</v>
      </c>
      <c r="F105" s="21">
        <f t="shared" si="65"/>
        <v>11.85</v>
      </c>
      <c r="G105" s="21">
        <f t="shared" si="65"/>
        <v>2.88</v>
      </c>
      <c r="H105" s="21">
        <f t="shared" si="65"/>
        <v>2.6939999999999986</v>
      </c>
      <c r="I105" s="21">
        <f t="shared" si="65"/>
        <v>5.493000000000001</v>
      </c>
      <c r="J105" s="21">
        <f t="shared" si="65"/>
        <v>0.45</v>
      </c>
      <c r="K105" s="21">
        <f t="shared" si="65"/>
        <v>2.103000000000001</v>
      </c>
      <c r="L105" s="62">
        <f t="shared" si="43"/>
        <v>78.06236080178182</v>
      </c>
      <c r="M105" s="62">
        <f t="shared" si="44"/>
        <v>38.28509011469144</v>
      </c>
      <c r="N105" s="21">
        <f>N104*30/1000</f>
        <v>3.39</v>
      </c>
      <c r="O105" s="104">
        <f t="shared" si="42"/>
        <v>161.1982881597717</v>
      </c>
      <c r="P105" s="21">
        <f t="shared" si="65"/>
        <v>0.15</v>
      </c>
      <c r="Q105" s="21">
        <f t="shared" si="65"/>
        <v>0.15</v>
      </c>
      <c r="R105" s="21">
        <f t="shared" si="65"/>
        <v>0.15</v>
      </c>
      <c r="S105" s="21">
        <f t="shared" si="65"/>
        <v>0.3</v>
      </c>
      <c r="T105" s="156">
        <f t="shared" si="45"/>
        <v>21.387</v>
      </c>
      <c r="U105" s="156">
        <f t="shared" si="46"/>
        <v>4.140000000000001</v>
      </c>
      <c r="Y105" s="152"/>
    </row>
    <row r="106" spans="1:25" s="41" customFormat="1" ht="12.75">
      <c r="A106" s="9" t="s">
        <v>3</v>
      </c>
      <c r="B106" s="28" t="s">
        <v>82</v>
      </c>
      <c r="C106" s="10" t="s">
        <v>0</v>
      </c>
      <c r="D106" s="49">
        <v>3</v>
      </c>
      <c r="E106" s="167">
        <v>174</v>
      </c>
      <c r="F106" s="21">
        <f>631-395</f>
        <v>236</v>
      </c>
      <c r="G106" s="21">
        <v>596.1</v>
      </c>
      <c r="H106" s="21">
        <f>816.9-89.8-181.4</f>
        <v>545.7</v>
      </c>
      <c r="I106" s="21">
        <f>I101-I104-I108</f>
        <v>642.9</v>
      </c>
      <c r="J106" s="21">
        <f>J101-J104-J108</f>
        <v>620.9</v>
      </c>
      <c r="K106" s="21">
        <f>K101-K104-K108</f>
        <v>620.9</v>
      </c>
      <c r="L106" s="62">
        <f t="shared" si="43"/>
        <v>113.7804654572109</v>
      </c>
      <c r="M106" s="62">
        <f t="shared" si="44"/>
        <v>96.57800591071707</v>
      </c>
      <c r="N106" s="21">
        <f>N101-N104-N108</f>
        <v>187</v>
      </c>
      <c r="O106" s="104">
        <f t="shared" si="42"/>
        <v>30.117571267514897</v>
      </c>
      <c r="P106" s="21">
        <f>830-5-631</f>
        <v>194</v>
      </c>
      <c r="Q106" s="21">
        <f>835-5-727.1</f>
        <v>102.89999999999998</v>
      </c>
      <c r="R106" s="21">
        <f>840-5-816</f>
        <v>19</v>
      </c>
      <c r="S106" s="21">
        <f>850-10-820</f>
        <v>20</v>
      </c>
      <c r="T106" s="156">
        <f t="shared" si="45"/>
        <v>2172.7000000000003</v>
      </c>
      <c r="U106" s="156">
        <f t="shared" si="46"/>
        <v>522.9</v>
      </c>
      <c r="Y106" s="152"/>
    </row>
    <row r="107" spans="1:25" s="41" customFormat="1" ht="12.75">
      <c r="A107" s="9"/>
      <c r="B107" s="28" t="s">
        <v>83</v>
      </c>
      <c r="C107" s="10" t="s">
        <v>77</v>
      </c>
      <c r="D107" s="49">
        <f aca="true" t="shared" si="66" ref="D107:N107">D106*5/1000</f>
        <v>0.015</v>
      </c>
      <c r="E107" s="21">
        <f t="shared" si="66"/>
        <v>0.87</v>
      </c>
      <c r="F107" s="21">
        <f t="shared" si="66"/>
        <v>1.18</v>
      </c>
      <c r="G107" s="21">
        <f t="shared" si="66"/>
        <v>2.9805</v>
      </c>
      <c r="H107" s="21">
        <f t="shared" si="66"/>
        <v>2.7285</v>
      </c>
      <c r="I107" s="21">
        <f t="shared" si="66"/>
        <v>3.2145</v>
      </c>
      <c r="J107" s="21">
        <f t="shared" si="66"/>
        <v>3.1045</v>
      </c>
      <c r="K107" s="21">
        <f t="shared" si="66"/>
        <v>3.1045</v>
      </c>
      <c r="L107" s="62">
        <f t="shared" si="43"/>
        <v>113.78046545721092</v>
      </c>
      <c r="M107" s="62">
        <f t="shared" si="44"/>
        <v>96.57800591071705</v>
      </c>
      <c r="N107" s="21">
        <f t="shared" si="66"/>
        <v>0.935</v>
      </c>
      <c r="O107" s="104">
        <f t="shared" si="42"/>
        <v>30.117571267514904</v>
      </c>
      <c r="P107" s="21">
        <f>P106*5/1000</f>
        <v>0.97</v>
      </c>
      <c r="Q107" s="21">
        <f>Q106*5/1000</f>
        <v>0.5144999999999998</v>
      </c>
      <c r="R107" s="21">
        <f>R106*5/1000</f>
        <v>0.095</v>
      </c>
      <c r="S107" s="21">
        <f>S106*5/1000</f>
        <v>0.1</v>
      </c>
      <c r="T107" s="156">
        <f t="shared" si="45"/>
        <v>10.8635</v>
      </c>
      <c r="U107" s="156">
        <f t="shared" si="46"/>
        <v>2.6144999999999996</v>
      </c>
      <c r="Y107" s="152"/>
    </row>
    <row r="108" spans="1:25" s="41" customFormat="1" ht="12.75">
      <c r="A108" s="9" t="s">
        <v>3</v>
      </c>
      <c r="B108" s="28" t="s">
        <v>63</v>
      </c>
      <c r="C108" s="10" t="s">
        <v>0</v>
      </c>
      <c r="D108" s="49"/>
      <c r="E108" s="21"/>
      <c r="F108" s="21"/>
      <c r="G108" s="21">
        <v>35</v>
      </c>
      <c r="H108" s="21">
        <v>181.4</v>
      </c>
      <c r="I108" s="21">
        <v>174</v>
      </c>
      <c r="J108" s="21">
        <v>196</v>
      </c>
      <c r="K108" s="21">
        <v>196</v>
      </c>
      <c r="L108" s="62">
        <f t="shared" si="43"/>
        <v>108.04851157662623</v>
      </c>
      <c r="M108" s="62">
        <f t="shared" si="44"/>
        <v>112.64367816091954</v>
      </c>
      <c r="N108" s="21">
        <v>700</v>
      </c>
      <c r="O108" s="104">
        <f t="shared" si="42"/>
        <v>357.14285714285717</v>
      </c>
      <c r="P108" s="21">
        <v>631</v>
      </c>
      <c r="Q108" s="21">
        <v>727.1</v>
      </c>
      <c r="R108" s="21">
        <v>816.9</v>
      </c>
      <c r="S108" s="21">
        <v>820</v>
      </c>
      <c r="T108" s="156">
        <f t="shared" si="45"/>
        <v>412.4</v>
      </c>
      <c r="U108" s="156">
        <f t="shared" si="46"/>
        <v>3695</v>
      </c>
      <c r="Y108" s="152"/>
    </row>
    <row r="109" spans="1:25" s="41" customFormat="1" ht="12.75">
      <c r="A109" s="9"/>
      <c r="B109" s="28" t="s">
        <v>4</v>
      </c>
      <c r="C109" s="10" t="s">
        <v>55</v>
      </c>
      <c r="D109" s="49"/>
      <c r="E109" s="21"/>
      <c r="F109" s="21"/>
      <c r="G109" s="21">
        <v>8</v>
      </c>
      <c r="H109" s="21">
        <v>8</v>
      </c>
      <c r="I109" s="21">
        <v>8</v>
      </c>
      <c r="J109" s="21">
        <v>15</v>
      </c>
      <c r="K109" s="21">
        <v>10</v>
      </c>
      <c r="L109" s="62">
        <f t="shared" si="43"/>
        <v>125</v>
      </c>
      <c r="M109" s="62">
        <f t="shared" si="44"/>
        <v>125</v>
      </c>
      <c r="N109" s="21">
        <v>8</v>
      </c>
      <c r="O109" s="104">
        <f t="shared" si="42"/>
        <v>80</v>
      </c>
      <c r="P109" s="21">
        <v>8</v>
      </c>
      <c r="Q109" s="21">
        <v>8</v>
      </c>
      <c r="R109" s="21">
        <v>8</v>
      </c>
      <c r="S109" s="21">
        <v>8</v>
      </c>
      <c r="T109" s="156">
        <f t="shared" si="45"/>
        <v>26</v>
      </c>
      <c r="U109" s="156">
        <f t="shared" si="46"/>
        <v>40</v>
      </c>
      <c r="Y109" s="152"/>
    </row>
    <row r="110" spans="1:25" s="41" customFormat="1" ht="12.75">
      <c r="A110" s="9"/>
      <c r="B110" s="28" t="s">
        <v>57</v>
      </c>
      <c r="C110" s="10" t="s">
        <v>30</v>
      </c>
      <c r="D110" s="49"/>
      <c r="E110" s="19">
        <f aca="true" t="shared" si="67" ref="E110:S110">E108*E109/10</f>
        <v>0</v>
      </c>
      <c r="F110" s="19">
        <f t="shared" si="67"/>
        <v>0</v>
      </c>
      <c r="G110" s="19">
        <f t="shared" si="67"/>
        <v>28</v>
      </c>
      <c r="H110" s="19">
        <f t="shared" si="67"/>
        <v>145.12</v>
      </c>
      <c r="I110" s="19">
        <f>I108*I109/10</f>
        <v>139.2</v>
      </c>
      <c r="J110" s="19">
        <f>J108*J109/10</f>
        <v>294</v>
      </c>
      <c r="K110" s="19">
        <f t="shared" si="67"/>
        <v>196</v>
      </c>
      <c r="L110" s="62">
        <f t="shared" si="43"/>
        <v>135.0606394707828</v>
      </c>
      <c r="M110" s="62">
        <f t="shared" si="44"/>
        <v>140.80459770114945</v>
      </c>
      <c r="N110" s="19">
        <f>N108*N109/10</f>
        <v>560</v>
      </c>
      <c r="O110" s="104">
        <f t="shared" si="42"/>
        <v>285.7142857142857</v>
      </c>
      <c r="P110" s="19">
        <f t="shared" si="67"/>
        <v>504.8</v>
      </c>
      <c r="Q110" s="19">
        <f t="shared" si="67"/>
        <v>581.6800000000001</v>
      </c>
      <c r="R110" s="19">
        <f t="shared" si="67"/>
        <v>653.52</v>
      </c>
      <c r="S110" s="19">
        <f t="shared" si="67"/>
        <v>656</v>
      </c>
      <c r="T110" s="156">
        <f t="shared" si="45"/>
        <v>369.12</v>
      </c>
      <c r="U110" s="156">
        <f t="shared" si="46"/>
        <v>2956</v>
      </c>
      <c r="Y110" s="152"/>
    </row>
    <row r="111" spans="1:25" s="41" customFormat="1" ht="12.75">
      <c r="A111" s="9"/>
      <c r="B111" s="28" t="s">
        <v>79</v>
      </c>
      <c r="C111" s="10" t="s">
        <v>77</v>
      </c>
      <c r="D111" s="49">
        <f>D110*15.251/1000</f>
        <v>0</v>
      </c>
      <c r="E111" s="49">
        <f aca="true" t="shared" si="68" ref="E111:S111">E110*15.251/1000</f>
        <v>0</v>
      </c>
      <c r="F111" s="49">
        <f t="shared" si="68"/>
        <v>0</v>
      </c>
      <c r="G111" s="49">
        <f t="shared" si="68"/>
        <v>0.42702799999999996</v>
      </c>
      <c r="H111" s="49">
        <f t="shared" si="68"/>
        <v>2.21322512</v>
      </c>
      <c r="I111" s="49">
        <f t="shared" si="68"/>
        <v>2.1229392</v>
      </c>
      <c r="J111" s="49">
        <f t="shared" si="68"/>
        <v>4.483794</v>
      </c>
      <c r="K111" s="49">
        <f t="shared" si="68"/>
        <v>2.9891959999999997</v>
      </c>
      <c r="L111" s="62">
        <f t="shared" si="43"/>
        <v>135.06063947078277</v>
      </c>
      <c r="M111" s="62">
        <f t="shared" si="44"/>
        <v>140.80459770114945</v>
      </c>
      <c r="N111" s="49">
        <f t="shared" si="68"/>
        <v>8.54056</v>
      </c>
      <c r="O111" s="104">
        <f t="shared" si="68"/>
        <v>4.357428571428572</v>
      </c>
      <c r="P111" s="49">
        <f t="shared" si="68"/>
        <v>7.6987048</v>
      </c>
      <c r="Q111" s="49">
        <f t="shared" si="68"/>
        <v>8.87120168</v>
      </c>
      <c r="R111" s="49">
        <f t="shared" si="68"/>
        <v>9.96683352</v>
      </c>
      <c r="S111" s="49">
        <f t="shared" si="68"/>
        <v>10.004655999999999</v>
      </c>
      <c r="T111" s="156">
        <f t="shared" si="45"/>
        <v>5.62944912</v>
      </c>
      <c r="U111" s="156">
        <f t="shared" si="46"/>
        <v>45.081956</v>
      </c>
      <c r="Y111" s="152"/>
    </row>
    <row r="112" spans="1:25" s="41" customFormat="1" ht="12.75">
      <c r="A112" s="5" t="s">
        <v>26</v>
      </c>
      <c r="B112" s="27" t="s">
        <v>47</v>
      </c>
      <c r="C112" s="5" t="s">
        <v>0</v>
      </c>
      <c r="D112" s="49">
        <f>D113+D114+D115</f>
        <v>0.5</v>
      </c>
      <c r="E112" s="21">
        <f>E113+E114+E115</f>
        <v>0.5</v>
      </c>
      <c r="F112" s="21">
        <f>F113+F114+F115</f>
        <v>0.5</v>
      </c>
      <c r="G112" s="21">
        <f>G113+G114+G115</f>
        <v>0.5</v>
      </c>
      <c r="H112" s="21">
        <f>H113+H114+H115</f>
        <v>0.2</v>
      </c>
      <c r="I112" s="21">
        <v>0.2</v>
      </c>
      <c r="J112" s="21">
        <v>0.2</v>
      </c>
      <c r="K112" s="21">
        <v>0.2</v>
      </c>
      <c r="L112" s="62">
        <f t="shared" si="43"/>
        <v>100</v>
      </c>
      <c r="M112" s="62">
        <f t="shared" si="44"/>
        <v>100</v>
      </c>
      <c r="N112" s="21">
        <v>0.2</v>
      </c>
      <c r="O112" s="104">
        <f t="shared" si="42"/>
        <v>100</v>
      </c>
      <c r="P112" s="21">
        <v>0.2</v>
      </c>
      <c r="Q112" s="21">
        <v>0.2</v>
      </c>
      <c r="R112" s="21">
        <v>0.2</v>
      </c>
      <c r="S112" s="21">
        <v>0.2</v>
      </c>
      <c r="T112" s="156">
        <f t="shared" si="45"/>
        <v>1.9</v>
      </c>
      <c r="U112" s="156">
        <f t="shared" si="46"/>
        <v>1</v>
      </c>
      <c r="Y112" s="152"/>
    </row>
    <row r="113" spans="1:25" s="41" customFormat="1" ht="12.75" hidden="1">
      <c r="A113" s="7" t="s">
        <v>3</v>
      </c>
      <c r="B113" s="27" t="s">
        <v>94</v>
      </c>
      <c r="C113" s="5" t="s">
        <v>0</v>
      </c>
      <c r="D113" s="49">
        <v>0.5</v>
      </c>
      <c r="E113" s="21"/>
      <c r="F113" s="21"/>
      <c r="G113" s="21"/>
      <c r="H113" s="21"/>
      <c r="I113" s="21"/>
      <c r="J113" s="21"/>
      <c r="K113" s="21"/>
      <c r="L113" s="62" t="e">
        <f t="shared" si="43"/>
        <v>#DIV/0!</v>
      </c>
      <c r="M113" s="62" t="e">
        <f t="shared" si="44"/>
        <v>#DIV/0!</v>
      </c>
      <c r="N113" s="21"/>
      <c r="O113" s="104" t="e">
        <f t="shared" si="42"/>
        <v>#DIV/0!</v>
      </c>
      <c r="P113" s="21"/>
      <c r="Q113" s="21"/>
      <c r="R113" s="21"/>
      <c r="S113" s="21"/>
      <c r="T113" s="156">
        <f t="shared" si="45"/>
        <v>0</v>
      </c>
      <c r="U113" s="156">
        <f t="shared" si="46"/>
        <v>0</v>
      </c>
      <c r="Y113" s="152"/>
    </row>
    <row r="114" spans="1:25" s="41" customFormat="1" ht="12.75" hidden="1">
      <c r="A114" s="5" t="s">
        <v>3</v>
      </c>
      <c r="B114" s="27" t="s">
        <v>82</v>
      </c>
      <c r="C114" s="5" t="s">
        <v>39</v>
      </c>
      <c r="D114" s="49">
        <v>0</v>
      </c>
      <c r="E114" s="21">
        <v>0.5</v>
      </c>
      <c r="F114" s="21">
        <v>0.5</v>
      </c>
      <c r="G114" s="21">
        <v>0.5</v>
      </c>
      <c r="H114" s="21">
        <v>0.2</v>
      </c>
      <c r="I114" s="21"/>
      <c r="J114" s="21"/>
      <c r="K114" s="21">
        <v>0.2</v>
      </c>
      <c r="L114" s="62">
        <f t="shared" si="43"/>
        <v>100</v>
      </c>
      <c r="M114" s="62" t="e">
        <f t="shared" si="44"/>
        <v>#DIV/0!</v>
      </c>
      <c r="N114" s="21"/>
      <c r="O114" s="104">
        <f t="shared" si="42"/>
        <v>0</v>
      </c>
      <c r="P114" s="21">
        <v>0.2</v>
      </c>
      <c r="Q114" s="21">
        <v>0.2</v>
      </c>
      <c r="R114" s="21">
        <v>0.2</v>
      </c>
      <c r="S114" s="21">
        <v>0.2</v>
      </c>
      <c r="T114" s="156">
        <f t="shared" si="45"/>
        <v>1.9</v>
      </c>
      <c r="U114" s="156">
        <f t="shared" si="46"/>
        <v>0.8</v>
      </c>
      <c r="Y114" s="152"/>
    </row>
    <row r="115" spans="1:25" s="41" customFormat="1" ht="12.75" hidden="1">
      <c r="A115" s="7" t="s">
        <v>3</v>
      </c>
      <c r="B115" s="27" t="s">
        <v>63</v>
      </c>
      <c r="C115" s="5" t="s">
        <v>0</v>
      </c>
      <c r="D115" s="49"/>
      <c r="E115" s="21"/>
      <c r="F115" s="21"/>
      <c r="G115" s="21"/>
      <c r="H115" s="21"/>
      <c r="I115" s="21"/>
      <c r="J115" s="21"/>
      <c r="K115" s="21"/>
      <c r="L115" s="62" t="e">
        <f t="shared" si="43"/>
        <v>#DIV/0!</v>
      </c>
      <c r="M115" s="62" t="e">
        <f t="shared" si="44"/>
        <v>#DIV/0!</v>
      </c>
      <c r="N115" s="21"/>
      <c r="O115" s="104" t="e">
        <f t="shared" si="42"/>
        <v>#DIV/0!</v>
      </c>
      <c r="P115" s="21"/>
      <c r="Q115" s="21"/>
      <c r="R115" s="21">
        <v>0.2</v>
      </c>
      <c r="S115" s="21">
        <v>0.2</v>
      </c>
      <c r="T115" s="156">
        <f t="shared" si="45"/>
        <v>0</v>
      </c>
      <c r="U115" s="156">
        <f t="shared" si="46"/>
        <v>0.4</v>
      </c>
      <c r="Y115" s="152"/>
    </row>
    <row r="116" spans="1:25" s="41" customFormat="1" ht="12.75" hidden="1">
      <c r="A116" s="9"/>
      <c r="B116" s="28" t="s">
        <v>75</v>
      </c>
      <c r="C116" s="10" t="s">
        <v>55</v>
      </c>
      <c r="D116" s="49"/>
      <c r="E116" s="21"/>
      <c r="F116" s="21"/>
      <c r="G116" s="21"/>
      <c r="H116" s="21"/>
      <c r="I116" s="21"/>
      <c r="J116" s="21"/>
      <c r="K116" s="21"/>
      <c r="L116" s="62" t="e">
        <f t="shared" si="43"/>
        <v>#DIV/0!</v>
      </c>
      <c r="M116" s="62" t="e">
        <f t="shared" si="44"/>
        <v>#DIV/0!</v>
      </c>
      <c r="N116" s="21"/>
      <c r="O116" s="104" t="e">
        <f t="shared" si="42"/>
        <v>#DIV/0!</v>
      </c>
      <c r="P116" s="21"/>
      <c r="Q116" s="21"/>
      <c r="R116" s="21">
        <v>15</v>
      </c>
      <c r="S116" s="21">
        <v>15</v>
      </c>
      <c r="T116" s="156">
        <f t="shared" si="45"/>
        <v>0</v>
      </c>
      <c r="U116" s="156">
        <f t="shared" si="46"/>
        <v>30</v>
      </c>
      <c r="Y116" s="152"/>
    </row>
    <row r="117" spans="1:25" s="41" customFormat="1" ht="12.75" hidden="1">
      <c r="A117" s="9"/>
      <c r="B117" s="28" t="s">
        <v>57</v>
      </c>
      <c r="C117" s="10" t="s">
        <v>30</v>
      </c>
      <c r="D117" s="49"/>
      <c r="E117" s="21"/>
      <c r="F117" s="21"/>
      <c r="G117" s="21"/>
      <c r="H117" s="21"/>
      <c r="I117" s="21"/>
      <c r="J117" s="21"/>
      <c r="K117" s="21"/>
      <c r="L117" s="62" t="e">
        <f t="shared" si="43"/>
        <v>#DIV/0!</v>
      </c>
      <c r="M117" s="62" t="e">
        <f t="shared" si="44"/>
        <v>#DIV/0!</v>
      </c>
      <c r="N117" s="21"/>
      <c r="O117" s="104" t="e">
        <f t="shared" si="42"/>
        <v>#DIV/0!</v>
      </c>
      <c r="P117" s="21"/>
      <c r="Q117" s="21"/>
      <c r="R117" s="21">
        <f>R115*R116/10</f>
        <v>0.3</v>
      </c>
      <c r="S117" s="21">
        <f>S115*S116/10</f>
        <v>0.3</v>
      </c>
      <c r="T117" s="156">
        <f t="shared" si="45"/>
        <v>0</v>
      </c>
      <c r="U117" s="156">
        <f t="shared" si="46"/>
        <v>0.6</v>
      </c>
      <c r="Y117" s="152"/>
    </row>
    <row r="118" spans="1:25" s="41" customFormat="1" ht="12.75">
      <c r="A118" s="5" t="s">
        <v>37</v>
      </c>
      <c r="B118" s="27" t="s">
        <v>46</v>
      </c>
      <c r="C118" s="5" t="s">
        <v>0</v>
      </c>
      <c r="D118" s="49">
        <f aca="true" t="shared" si="69" ref="D118:S118">D119+D120+D121</f>
        <v>14</v>
      </c>
      <c r="E118" s="21">
        <f t="shared" si="69"/>
        <v>29.6</v>
      </c>
      <c r="F118" s="21">
        <f t="shared" si="69"/>
        <v>42.5</v>
      </c>
      <c r="G118" s="21">
        <f t="shared" si="69"/>
        <v>42.5</v>
      </c>
      <c r="H118" s="21">
        <f t="shared" si="69"/>
        <v>42.5</v>
      </c>
      <c r="I118" s="21">
        <v>50</v>
      </c>
      <c r="J118" s="21">
        <v>40</v>
      </c>
      <c r="K118" s="21">
        <v>40</v>
      </c>
      <c r="L118" s="62">
        <f t="shared" si="43"/>
        <v>94.11764705882352</v>
      </c>
      <c r="M118" s="62">
        <f t="shared" si="44"/>
        <v>80</v>
      </c>
      <c r="N118" s="21">
        <v>50</v>
      </c>
      <c r="O118" s="104">
        <f t="shared" si="42"/>
        <v>125</v>
      </c>
      <c r="P118" s="21">
        <f t="shared" si="69"/>
        <v>47</v>
      </c>
      <c r="Q118" s="21">
        <f t="shared" si="69"/>
        <v>48</v>
      </c>
      <c r="R118" s="21">
        <f t="shared" si="69"/>
        <v>49</v>
      </c>
      <c r="S118" s="21">
        <f t="shared" si="69"/>
        <v>50</v>
      </c>
      <c r="T118" s="156">
        <f t="shared" si="45"/>
        <v>197.1</v>
      </c>
      <c r="U118" s="156">
        <f t="shared" si="46"/>
        <v>244</v>
      </c>
      <c r="Y118" s="152"/>
    </row>
    <row r="119" spans="1:25" s="41" customFormat="1" ht="12.75" hidden="1">
      <c r="A119" s="7" t="s">
        <v>3</v>
      </c>
      <c r="B119" s="27" t="s">
        <v>94</v>
      </c>
      <c r="C119" s="5" t="s">
        <v>0</v>
      </c>
      <c r="D119" s="49">
        <v>14</v>
      </c>
      <c r="E119" s="21">
        <f>29.6-14</f>
        <v>15.600000000000001</v>
      </c>
      <c r="F119" s="21">
        <f>42.5-29.6</f>
        <v>12.899999999999999</v>
      </c>
      <c r="G119" s="21"/>
      <c r="H119" s="21"/>
      <c r="I119" s="21"/>
      <c r="J119" s="21"/>
      <c r="K119" s="21">
        <v>2.5</v>
      </c>
      <c r="L119" s="62" t="e">
        <f t="shared" si="43"/>
        <v>#DIV/0!</v>
      </c>
      <c r="M119" s="62" t="e">
        <f t="shared" si="44"/>
        <v>#DIV/0!</v>
      </c>
      <c r="N119" s="21"/>
      <c r="O119" s="104">
        <f t="shared" si="42"/>
        <v>0</v>
      </c>
      <c r="P119" s="21">
        <v>1</v>
      </c>
      <c r="Q119" s="21">
        <v>1</v>
      </c>
      <c r="R119" s="21">
        <v>1</v>
      </c>
      <c r="S119" s="21">
        <v>1</v>
      </c>
      <c r="T119" s="156">
        <f t="shared" si="45"/>
        <v>31</v>
      </c>
      <c r="U119" s="156">
        <f t="shared" si="46"/>
        <v>4</v>
      </c>
      <c r="Y119" s="152"/>
    </row>
    <row r="120" spans="1:25" s="41" customFormat="1" ht="12.75" hidden="1">
      <c r="A120" s="5" t="s">
        <v>3</v>
      </c>
      <c r="B120" s="27" t="s">
        <v>82</v>
      </c>
      <c r="C120" s="5" t="s">
        <v>39</v>
      </c>
      <c r="D120" s="49"/>
      <c r="E120" s="21">
        <v>14</v>
      </c>
      <c r="F120" s="21">
        <v>29.6</v>
      </c>
      <c r="G120" s="21">
        <v>42.5</v>
      </c>
      <c r="H120" s="21">
        <v>42.5</v>
      </c>
      <c r="I120" s="21"/>
      <c r="J120" s="21"/>
      <c r="K120" s="21">
        <f>42.5</f>
        <v>42.5</v>
      </c>
      <c r="L120" s="62">
        <f t="shared" si="43"/>
        <v>100</v>
      </c>
      <c r="M120" s="62" t="e">
        <f t="shared" si="44"/>
        <v>#DIV/0!</v>
      </c>
      <c r="N120" s="21"/>
      <c r="O120" s="104">
        <f t="shared" si="42"/>
        <v>0</v>
      </c>
      <c r="P120" s="21">
        <f>47-1-29.6</f>
        <v>16.4</v>
      </c>
      <c r="Q120" s="21">
        <f>48-1-42.5</f>
        <v>4.5</v>
      </c>
      <c r="R120" s="21">
        <f>49-1-42.5</f>
        <v>5.5</v>
      </c>
      <c r="S120" s="21">
        <f>50-1-45</f>
        <v>4</v>
      </c>
      <c r="T120" s="156">
        <f t="shared" si="45"/>
        <v>171.1</v>
      </c>
      <c r="U120" s="156">
        <f t="shared" si="46"/>
        <v>30.4</v>
      </c>
      <c r="Y120" s="152"/>
    </row>
    <row r="121" spans="1:25" s="41" customFormat="1" ht="12.75" hidden="1">
      <c r="A121" s="7" t="s">
        <v>3</v>
      </c>
      <c r="B121" s="27" t="s">
        <v>63</v>
      </c>
      <c r="C121" s="5" t="s">
        <v>0</v>
      </c>
      <c r="D121" s="49"/>
      <c r="E121" s="21"/>
      <c r="F121" s="21"/>
      <c r="G121" s="21"/>
      <c r="H121" s="21"/>
      <c r="I121" s="21"/>
      <c r="J121" s="21"/>
      <c r="K121" s="21"/>
      <c r="L121" s="62" t="e">
        <f t="shared" si="43"/>
        <v>#DIV/0!</v>
      </c>
      <c r="M121" s="62" t="e">
        <f t="shared" si="44"/>
        <v>#DIV/0!</v>
      </c>
      <c r="N121" s="21"/>
      <c r="O121" s="104" t="e">
        <f t="shared" si="42"/>
        <v>#DIV/0!</v>
      </c>
      <c r="P121" s="21">
        <v>29.6</v>
      </c>
      <c r="Q121" s="21">
        <v>42.5</v>
      </c>
      <c r="R121" s="21">
        <v>42.5</v>
      </c>
      <c r="S121" s="21">
        <v>45</v>
      </c>
      <c r="T121" s="156">
        <f t="shared" si="45"/>
        <v>0</v>
      </c>
      <c r="U121" s="156">
        <f t="shared" si="46"/>
        <v>159.6</v>
      </c>
      <c r="Y121" s="152"/>
    </row>
    <row r="122" spans="1:25" s="41" customFormat="1" ht="12.75" hidden="1">
      <c r="A122" s="9"/>
      <c r="B122" s="28" t="s">
        <v>105</v>
      </c>
      <c r="C122" s="10" t="s">
        <v>55</v>
      </c>
      <c r="D122" s="49"/>
      <c r="E122" s="21"/>
      <c r="F122" s="21"/>
      <c r="G122" s="21"/>
      <c r="H122" s="21"/>
      <c r="I122" s="21"/>
      <c r="J122" s="21"/>
      <c r="K122" s="21"/>
      <c r="L122" s="62" t="e">
        <f t="shared" si="43"/>
        <v>#DIV/0!</v>
      </c>
      <c r="M122" s="62" t="e">
        <f t="shared" si="44"/>
        <v>#DIV/0!</v>
      </c>
      <c r="N122" s="21"/>
      <c r="O122" s="104" t="e">
        <f t="shared" si="42"/>
        <v>#DIV/0!</v>
      </c>
      <c r="P122" s="21">
        <v>50</v>
      </c>
      <c r="Q122" s="21">
        <v>50</v>
      </c>
      <c r="R122" s="21">
        <v>50</v>
      </c>
      <c r="S122" s="21">
        <v>50</v>
      </c>
      <c r="T122" s="156">
        <f t="shared" si="45"/>
        <v>0</v>
      </c>
      <c r="U122" s="156">
        <f t="shared" si="46"/>
        <v>200</v>
      </c>
      <c r="Y122" s="152"/>
    </row>
    <row r="123" spans="1:25" s="41" customFormat="1" ht="12.75" hidden="1">
      <c r="A123" s="9"/>
      <c r="B123" s="28" t="s">
        <v>57</v>
      </c>
      <c r="C123" s="10" t="s">
        <v>30</v>
      </c>
      <c r="D123" s="49"/>
      <c r="E123" s="21"/>
      <c r="F123" s="21"/>
      <c r="G123" s="21"/>
      <c r="H123" s="21"/>
      <c r="I123" s="21"/>
      <c r="J123" s="21"/>
      <c r="K123" s="21"/>
      <c r="L123" s="62" t="e">
        <f t="shared" si="43"/>
        <v>#DIV/0!</v>
      </c>
      <c r="M123" s="62" t="e">
        <f t="shared" si="44"/>
        <v>#DIV/0!</v>
      </c>
      <c r="N123" s="21"/>
      <c r="O123" s="104" t="e">
        <f t="shared" si="42"/>
        <v>#DIV/0!</v>
      </c>
      <c r="P123" s="21">
        <f>P121*P122/10</f>
        <v>148</v>
      </c>
      <c r="Q123" s="21">
        <f>Q121*Q122/10</f>
        <v>212.5</v>
      </c>
      <c r="R123" s="21">
        <f>R121*R122/10</f>
        <v>212.5</v>
      </c>
      <c r="S123" s="21">
        <f>S121*S122/10</f>
        <v>225</v>
      </c>
      <c r="T123" s="156">
        <f t="shared" si="45"/>
        <v>0</v>
      </c>
      <c r="U123" s="156">
        <f t="shared" si="46"/>
        <v>798</v>
      </c>
      <c r="Y123" s="152"/>
    </row>
    <row r="124" spans="1:25" s="39" customFormat="1" ht="12.75">
      <c r="A124" s="2" t="s">
        <v>16</v>
      </c>
      <c r="B124" s="30" t="s">
        <v>64</v>
      </c>
      <c r="C124" s="2" t="s">
        <v>0</v>
      </c>
      <c r="D124" s="53">
        <f aca="true" t="shared" si="70" ref="D124:S124">D127+D129+D131</f>
        <v>24.93</v>
      </c>
      <c r="E124" s="24">
        <f t="shared" si="70"/>
        <v>33.89</v>
      </c>
      <c r="F124" s="24">
        <f t="shared" si="70"/>
        <v>72</v>
      </c>
      <c r="G124" s="24">
        <f t="shared" si="70"/>
        <v>80</v>
      </c>
      <c r="H124" s="24">
        <f t="shared" si="70"/>
        <v>82</v>
      </c>
      <c r="I124" s="24">
        <v>120</v>
      </c>
      <c r="J124" s="24">
        <v>92</v>
      </c>
      <c r="K124" s="24">
        <v>100</v>
      </c>
      <c r="L124" s="62">
        <f t="shared" si="43"/>
        <v>121.95121951219512</v>
      </c>
      <c r="M124" s="62">
        <f t="shared" si="44"/>
        <v>83.33333333333334</v>
      </c>
      <c r="N124" s="24">
        <v>120</v>
      </c>
      <c r="O124" s="194">
        <f t="shared" si="42"/>
        <v>120</v>
      </c>
      <c r="P124" s="24">
        <f t="shared" si="70"/>
        <v>160</v>
      </c>
      <c r="Q124" s="24">
        <f t="shared" si="70"/>
        <v>180</v>
      </c>
      <c r="R124" s="24">
        <f t="shared" si="70"/>
        <v>200</v>
      </c>
      <c r="S124" s="24">
        <f t="shared" si="70"/>
        <v>250</v>
      </c>
      <c r="T124" s="156">
        <f t="shared" si="45"/>
        <v>367.89</v>
      </c>
      <c r="U124" s="156">
        <f t="shared" si="46"/>
        <v>910</v>
      </c>
      <c r="Y124" s="152"/>
    </row>
    <row r="125" spans="1:25" s="39" customFormat="1" ht="12.75">
      <c r="A125" s="2"/>
      <c r="B125" s="27" t="s">
        <v>85</v>
      </c>
      <c r="C125" s="5" t="s">
        <v>77</v>
      </c>
      <c r="D125" s="49">
        <f>D128+D130+D134</f>
        <v>0.6756500000000001</v>
      </c>
      <c r="E125" s="49">
        <f aca="true" t="shared" si="71" ref="E125:J125">E128+E130+E134</f>
        <v>0.4744</v>
      </c>
      <c r="F125" s="49">
        <f t="shared" si="71"/>
        <v>1.94135</v>
      </c>
      <c r="G125" s="49">
        <f t="shared" si="71"/>
        <v>0.47200000000000003</v>
      </c>
      <c r="H125" s="49">
        <f>H128+H130+H134</f>
        <v>0.862772</v>
      </c>
      <c r="I125" s="49">
        <f t="shared" si="71"/>
        <v>2.6647719999999997</v>
      </c>
      <c r="J125" s="49">
        <f t="shared" si="71"/>
        <v>0.557</v>
      </c>
      <c r="K125" s="49">
        <f>K128+K130+K134</f>
        <v>1.9419124</v>
      </c>
      <c r="L125" s="62">
        <f>K125/H125*100</f>
        <v>225.0782825590075</v>
      </c>
      <c r="M125" s="62">
        <f t="shared" si="44"/>
        <v>72.87349161579303</v>
      </c>
      <c r="N125" s="21">
        <f>N128+N130+N134</f>
        <v>3.421912</v>
      </c>
      <c r="O125" s="104">
        <f t="shared" si="42"/>
        <v>176.21350993999522</v>
      </c>
      <c r="P125" s="21">
        <f>P128+P130+P134</f>
        <v>6.0855999999999995</v>
      </c>
      <c r="Q125" s="21">
        <f>Q128+Q130+Q134</f>
        <v>6.22924</v>
      </c>
      <c r="R125" s="21">
        <f>R128+R130+R134</f>
        <v>8.5984</v>
      </c>
      <c r="S125" s="21">
        <f>S128+S130+S134</f>
        <v>11.3548</v>
      </c>
      <c r="T125" s="156">
        <f t="shared" si="45"/>
        <v>5.6924344</v>
      </c>
      <c r="U125" s="156">
        <f t="shared" si="46"/>
        <v>35.689952</v>
      </c>
      <c r="Y125" s="152"/>
    </row>
    <row r="126" spans="1:25" s="39" customFormat="1" ht="12.75">
      <c r="A126" s="2"/>
      <c r="B126" s="27" t="s">
        <v>122</v>
      </c>
      <c r="C126" s="5" t="s">
        <v>77</v>
      </c>
      <c r="D126" s="49">
        <f>D125*30%*9.6%</f>
        <v>0.019458720000000002</v>
      </c>
      <c r="E126" s="21">
        <f aca="true" t="shared" si="72" ref="E126:S126">E125*30%*9.6%</f>
        <v>0.01366272</v>
      </c>
      <c r="F126" s="21">
        <f t="shared" si="72"/>
        <v>0.055910879999999996</v>
      </c>
      <c r="G126" s="21">
        <f t="shared" si="72"/>
        <v>0.0135936</v>
      </c>
      <c r="H126" s="21">
        <f t="shared" si="72"/>
        <v>0.0248478336</v>
      </c>
      <c r="I126" s="21">
        <f t="shared" si="72"/>
        <v>0.0767454336</v>
      </c>
      <c r="J126" s="21">
        <f>J125*30%*9.6%</f>
        <v>0.0160416</v>
      </c>
      <c r="K126" s="21">
        <f t="shared" si="72"/>
        <v>0.055927077119999995</v>
      </c>
      <c r="L126" s="62">
        <f t="shared" si="43"/>
        <v>225.07828255900745</v>
      </c>
      <c r="M126" s="62">
        <f t="shared" si="44"/>
        <v>72.87349161579301</v>
      </c>
      <c r="N126" s="21">
        <f>N125*30%*9.6%</f>
        <v>0.09855106559999999</v>
      </c>
      <c r="O126" s="104">
        <f t="shared" si="42"/>
        <v>176.21350993999522</v>
      </c>
      <c r="P126" s="21">
        <f t="shared" si="72"/>
        <v>0.17526527999999997</v>
      </c>
      <c r="Q126" s="21">
        <f t="shared" si="72"/>
        <v>0.179402112</v>
      </c>
      <c r="R126" s="21">
        <f t="shared" si="72"/>
        <v>0.24763392</v>
      </c>
      <c r="S126" s="21">
        <f t="shared" si="72"/>
        <v>0.32701823999999996</v>
      </c>
      <c r="T126" s="156">
        <f t="shared" si="45"/>
        <v>0.16394211072</v>
      </c>
      <c r="U126" s="156">
        <f t="shared" si="46"/>
        <v>1.0278706175999999</v>
      </c>
      <c r="Y126" s="152"/>
    </row>
    <row r="127" spans="1:25" s="39" customFormat="1" ht="12.75">
      <c r="A127" s="2" t="s">
        <v>3</v>
      </c>
      <c r="B127" s="27" t="s">
        <v>80</v>
      </c>
      <c r="C127" s="5" t="s">
        <v>0</v>
      </c>
      <c r="D127" s="49">
        <v>13.28</v>
      </c>
      <c r="E127" s="21">
        <v>8.99</v>
      </c>
      <c r="F127" s="21">
        <f>72.05-33.9</f>
        <v>38.15</v>
      </c>
      <c r="G127" s="21">
        <f>80-72</f>
        <v>8</v>
      </c>
      <c r="H127" s="21">
        <f>82-80</f>
        <v>2</v>
      </c>
      <c r="I127" s="21">
        <f>I124-H124</f>
        <v>38</v>
      </c>
      <c r="J127" s="21">
        <f>J124-H124</f>
        <v>10</v>
      </c>
      <c r="K127" s="21">
        <f>100-82</f>
        <v>18</v>
      </c>
      <c r="L127" s="62">
        <f t="shared" si="43"/>
        <v>900</v>
      </c>
      <c r="M127" s="62">
        <f t="shared" si="44"/>
        <v>47.368421052631575</v>
      </c>
      <c r="N127" s="21">
        <f>N124-K124</f>
        <v>20</v>
      </c>
      <c r="O127" s="104">
        <f t="shared" si="42"/>
        <v>111.11111111111111</v>
      </c>
      <c r="P127" s="21">
        <v>20</v>
      </c>
      <c r="Q127" s="21">
        <v>20</v>
      </c>
      <c r="R127" s="21">
        <v>20</v>
      </c>
      <c r="S127" s="21">
        <v>50</v>
      </c>
      <c r="T127" s="156">
        <f t="shared" si="45"/>
        <v>75.14</v>
      </c>
      <c r="U127" s="156">
        <f t="shared" si="46"/>
        <v>130</v>
      </c>
      <c r="Y127" s="152"/>
    </row>
    <row r="128" spans="1:25" s="39" customFormat="1" ht="12.75">
      <c r="A128" s="2"/>
      <c r="B128" s="27" t="s">
        <v>93</v>
      </c>
      <c r="C128" s="5" t="s">
        <v>77</v>
      </c>
      <c r="D128" s="49">
        <f>D127*50/1000</f>
        <v>0.664</v>
      </c>
      <c r="E128" s="21">
        <f>E127*50/1000</f>
        <v>0.4495</v>
      </c>
      <c r="F128" s="21">
        <f aca="true" t="shared" si="73" ref="F128:S128">F127*50/1000</f>
        <v>1.9075</v>
      </c>
      <c r="G128" s="21">
        <f t="shared" si="73"/>
        <v>0.4</v>
      </c>
      <c r="H128" s="21">
        <f t="shared" si="73"/>
        <v>0.1</v>
      </c>
      <c r="I128" s="21">
        <f t="shared" si="73"/>
        <v>1.9</v>
      </c>
      <c r="J128" s="21">
        <f t="shared" si="73"/>
        <v>0.5</v>
      </c>
      <c r="K128" s="21">
        <f t="shared" si="73"/>
        <v>0.9</v>
      </c>
      <c r="L128" s="62">
        <f t="shared" si="43"/>
        <v>900</v>
      </c>
      <c r="M128" s="62">
        <f t="shared" si="44"/>
        <v>47.36842105263158</v>
      </c>
      <c r="N128" s="21">
        <f>N127*50/1000</f>
        <v>1</v>
      </c>
      <c r="O128" s="104">
        <f t="shared" si="42"/>
        <v>111.11111111111111</v>
      </c>
      <c r="P128" s="21">
        <f t="shared" si="73"/>
        <v>1</v>
      </c>
      <c r="Q128" s="21">
        <f t="shared" si="73"/>
        <v>1</v>
      </c>
      <c r="R128" s="21">
        <f t="shared" si="73"/>
        <v>1</v>
      </c>
      <c r="S128" s="21">
        <f t="shared" si="73"/>
        <v>2.5</v>
      </c>
      <c r="T128" s="156">
        <f t="shared" si="45"/>
        <v>3.757</v>
      </c>
      <c r="U128" s="156">
        <f t="shared" si="46"/>
        <v>6.5</v>
      </c>
      <c r="Y128" s="152"/>
    </row>
    <row r="129" spans="1:25" s="39" customFormat="1" ht="12.75">
      <c r="A129" s="2" t="s">
        <v>3</v>
      </c>
      <c r="B129" s="27" t="s">
        <v>82</v>
      </c>
      <c r="C129" s="5" t="s">
        <v>39</v>
      </c>
      <c r="D129" s="49">
        <f>24.93-13.28</f>
        <v>11.65</v>
      </c>
      <c r="E129" s="21">
        <v>24.9</v>
      </c>
      <c r="F129" s="21">
        <f>72.05-38.2</f>
        <v>33.849999999999994</v>
      </c>
      <c r="G129" s="21">
        <f>80-8</f>
        <v>72</v>
      </c>
      <c r="H129" s="21">
        <f>82-2-25</f>
        <v>55</v>
      </c>
      <c r="I129" s="21">
        <f>I124-I127-I131</f>
        <v>57</v>
      </c>
      <c r="J129" s="21">
        <f>J124-J127-J131</f>
        <v>57</v>
      </c>
      <c r="K129" s="21">
        <f>100-K127-K131</f>
        <v>48.1</v>
      </c>
      <c r="L129" s="62">
        <f t="shared" si="43"/>
        <v>87.45454545454547</v>
      </c>
      <c r="M129" s="62">
        <f t="shared" si="44"/>
        <v>84.38596491228071</v>
      </c>
      <c r="N129" s="21">
        <f>N124-N127-N131</f>
        <v>18</v>
      </c>
      <c r="O129" s="104">
        <f t="shared" si="42"/>
        <v>37.42203742203742</v>
      </c>
      <c r="P129" s="21">
        <f>160-20-80</f>
        <v>60</v>
      </c>
      <c r="Q129" s="21">
        <f>180-20-82</f>
        <v>78</v>
      </c>
      <c r="R129" s="21">
        <f>200-20-120</f>
        <v>60</v>
      </c>
      <c r="S129" s="21">
        <f>250-50-140</f>
        <v>60</v>
      </c>
      <c r="T129" s="156">
        <f t="shared" si="45"/>
        <v>233.85</v>
      </c>
      <c r="U129" s="156">
        <f t="shared" si="46"/>
        <v>276</v>
      </c>
      <c r="Y129" s="152"/>
    </row>
    <row r="130" spans="1:25" s="39" customFormat="1" ht="12.75">
      <c r="A130" s="2"/>
      <c r="B130" s="27" t="s">
        <v>95</v>
      </c>
      <c r="C130" s="5"/>
      <c r="D130" s="49">
        <f>D129*1/1000</f>
        <v>0.01165</v>
      </c>
      <c r="E130" s="21">
        <f>E129*1/1000</f>
        <v>0.0249</v>
      </c>
      <c r="F130" s="21">
        <f aca="true" t="shared" si="74" ref="F130:S130">F129*1/1000</f>
        <v>0.03384999999999999</v>
      </c>
      <c r="G130" s="21">
        <f t="shared" si="74"/>
        <v>0.072</v>
      </c>
      <c r="H130" s="21">
        <f t="shared" si="74"/>
        <v>0.055</v>
      </c>
      <c r="I130" s="21">
        <f t="shared" si="74"/>
        <v>0.057</v>
      </c>
      <c r="J130" s="21">
        <f t="shared" si="74"/>
        <v>0.057</v>
      </c>
      <c r="K130" s="21">
        <f t="shared" si="74"/>
        <v>0.048100000000000004</v>
      </c>
      <c r="L130" s="62">
        <f t="shared" si="43"/>
        <v>87.45454545454547</v>
      </c>
      <c r="M130" s="62">
        <f t="shared" si="44"/>
        <v>84.38596491228071</v>
      </c>
      <c r="N130" s="21">
        <f>N129*1/1000</f>
        <v>0.018</v>
      </c>
      <c r="O130" s="104">
        <f t="shared" si="42"/>
        <v>37.42203742203742</v>
      </c>
      <c r="P130" s="21">
        <f t="shared" si="74"/>
        <v>0.06</v>
      </c>
      <c r="Q130" s="21">
        <f t="shared" si="74"/>
        <v>0.078</v>
      </c>
      <c r="R130" s="21">
        <f t="shared" si="74"/>
        <v>0.06</v>
      </c>
      <c r="S130" s="21">
        <f t="shared" si="74"/>
        <v>0.06</v>
      </c>
      <c r="T130" s="156">
        <f t="shared" si="45"/>
        <v>0.23384999999999997</v>
      </c>
      <c r="U130" s="156">
        <f t="shared" si="46"/>
        <v>0.276</v>
      </c>
      <c r="Y130" s="152"/>
    </row>
    <row r="131" spans="1:25" s="39" customFormat="1" ht="12.75">
      <c r="A131" s="9" t="s">
        <v>3</v>
      </c>
      <c r="B131" s="28" t="s">
        <v>63</v>
      </c>
      <c r="C131" s="10" t="s">
        <v>0</v>
      </c>
      <c r="D131" s="49">
        <v>0</v>
      </c>
      <c r="E131" s="21">
        <v>0</v>
      </c>
      <c r="F131" s="21">
        <v>0</v>
      </c>
      <c r="G131" s="21">
        <v>0</v>
      </c>
      <c r="H131" s="21">
        <v>25</v>
      </c>
      <c r="I131" s="21">
        <v>25</v>
      </c>
      <c r="J131" s="21">
        <v>25</v>
      </c>
      <c r="K131" s="21">
        <v>33.9</v>
      </c>
      <c r="L131" s="62">
        <f t="shared" si="43"/>
        <v>135.6</v>
      </c>
      <c r="M131" s="62">
        <f t="shared" si="44"/>
        <v>135.6</v>
      </c>
      <c r="N131" s="21">
        <v>82</v>
      </c>
      <c r="O131" s="104">
        <f t="shared" si="42"/>
        <v>241.88790560471975</v>
      </c>
      <c r="P131" s="21">
        <v>80</v>
      </c>
      <c r="Q131" s="21">
        <v>82</v>
      </c>
      <c r="R131" s="21">
        <v>120</v>
      </c>
      <c r="S131" s="21">
        <v>140</v>
      </c>
      <c r="T131" s="156">
        <f t="shared" si="45"/>
        <v>58.9</v>
      </c>
      <c r="U131" s="156">
        <f t="shared" si="46"/>
        <v>504</v>
      </c>
      <c r="Y131" s="152"/>
    </row>
    <row r="132" spans="1:25" s="39" customFormat="1" ht="12.75">
      <c r="A132" s="9"/>
      <c r="B132" s="28" t="s">
        <v>4</v>
      </c>
      <c r="C132" s="10" t="s">
        <v>55</v>
      </c>
      <c r="D132" s="53"/>
      <c r="E132" s="24"/>
      <c r="F132" s="24"/>
      <c r="G132" s="24"/>
      <c r="H132" s="21">
        <v>60</v>
      </c>
      <c r="I132" s="21">
        <v>60</v>
      </c>
      <c r="J132" s="21"/>
      <c r="K132" s="21">
        <v>70</v>
      </c>
      <c r="L132" s="62">
        <f t="shared" si="43"/>
        <v>116.66666666666667</v>
      </c>
      <c r="M132" s="62">
        <f t="shared" si="44"/>
        <v>116.66666666666667</v>
      </c>
      <c r="N132" s="21">
        <v>70</v>
      </c>
      <c r="O132" s="104">
        <f t="shared" si="42"/>
        <v>100</v>
      </c>
      <c r="P132" s="21">
        <v>150</v>
      </c>
      <c r="Q132" s="21">
        <v>150</v>
      </c>
      <c r="R132" s="21">
        <v>150</v>
      </c>
      <c r="S132" s="21">
        <v>150</v>
      </c>
      <c r="T132" s="156">
        <f t="shared" si="45"/>
        <v>130</v>
      </c>
      <c r="U132" s="156">
        <f t="shared" si="46"/>
        <v>670</v>
      </c>
      <c r="Y132" s="152"/>
    </row>
    <row r="133" spans="1:25" s="39" customFormat="1" ht="12.75">
      <c r="A133" s="9"/>
      <c r="B133" s="28" t="s">
        <v>57</v>
      </c>
      <c r="C133" s="10" t="s">
        <v>30</v>
      </c>
      <c r="D133" s="49"/>
      <c r="E133" s="21"/>
      <c r="F133" s="21"/>
      <c r="G133" s="21"/>
      <c r="H133" s="21">
        <v>169</v>
      </c>
      <c r="I133" s="21">
        <v>169</v>
      </c>
      <c r="J133" s="21"/>
      <c r="K133" s="19">
        <f aca="true" t="shared" si="75" ref="K133:S133">K131*K132/10</f>
        <v>237.3</v>
      </c>
      <c r="L133" s="62">
        <f t="shared" si="43"/>
        <v>140.41420118343194</v>
      </c>
      <c r="M133" s="62">
        <f t="shared" si="44"/>
        <v>140.41420118343194</v>
      </c>
      <c r="N133" s="19">
        <f>N131*N132/10</f>
        <v>574</v>
      </c>
      <c r="O133" s="104">
        <f t="shared" si="42"/>
        <v>241.88790560471975</v>
      </c>
      <c r="P133" s="19">
        <f t="shared" si="75"/>
        <v>1200</v>
      </c>
      <c r="Q133" s="19">
        <f t="shared" si="75"/>
        <v>1230</v>
      </c>
      <c r="R133" s="19">
        <f t="shared" si="75"/>
        <v>1800</v>
      </c>
      <c r="S133" s="19">
        <f t="shared" si="75"/>
        <v>2100</v>
      </c>
      <c r="T133" s="156">
        <f t="shared" si="45"/>
        <v>406.3</v>
      </c>
      <c r="U133" s="156">
        <f t="shared" si="46"/>
        <v>6904</v>
      </c>
      <c r="Y133" s="152"/>
    </row>
    <row r="134" spans="1:25" s="39" customFormat="1" ht="12.75">
      <c r="A134" s="2"/>
      <c r="B134" s="27" t="s">
        <v>96</v>
      </c>
      <c r="C134" s="5" t="s">
        <v>77</v>
      </c>
      <c r="D134" s="49">
        <f>D133*4.188/1000</f>
        <v>0</v>
      </c>
      <c r="E134" s="49">
        <f aca="true" t="shared" si="76" ref="E134:S134">E133*4.188/1000</f>
        <v>0</v>
      </c>
      <c r="F134" s="49">
        <f t="shared" si="76"/>
        <v>0</v>
      </c>
      <c r="G134" s="49">
        <f t="shared" si="76"/>
        <v>0</v>
      </c>
      <c r="H134" s="49">
        <f t="shared" si="76"/>
        <v>0.707772</v>
      </c>
      <c r="I134" s="49">
        <f t="shared" si="76"/>
        <v>0.707772</v>
      </c>
      <c r="J134" s="49">
        <f t="shared" si="76"/>
        <v>0</v>
      </c>
      <c r="K134" s="49">
        <f t="shared" si="76"/>
        <v>0.9938124</v>
      </c>
      <c r="L134" s="62">
        <f t="shared" si="43"/>
        <v>140.41420118343197</v>
      </c>
      <c r="M134" s="62">
        <f t="shared" si="44"/>
        <v>140.41420118343197</v>
      </c>
      <c r="N134" s="49">
        <f t="shared" si="76"/>
        <v>2.4039119999999996</v>
      </c>
      <c r="O134" s="104">
        <f t="shared" si="76"/>
        <v>1.0130265486725663</v>
      </c>
      <c r="P134" s="49">
        <f t="shared" si="76"/>
        <v>5.0256</v>
      </c>
      <c r="Q134" s="49">
        <f t="shared" si="76"/>
        <v>5.15124</v>
      </c>
      <c r="R134" s="49">
        <f t="shared" si="76"/>
        <v>7.538399999999999</v>
      </c>
      <c r="S134" s="49">
        <f t="shared" si="76"/>
        <v>8.794799999999999</v>
      </c>
      <c r="T134" s="156">
        <f t="shared" si="45"/>
        <v>1.7015844</v>
      </c>
      <c r="U134" s="156">
        <f t="shared" si="46"/>
        <v>28.913951999999995</v>
      </c>
      <c r="Y134" s="152"/>
    </row>
    <row r="135" spans="1:25" s="39" customFormat="1" ht="12.75">
      <c r="A135" s="2">
        <v>3</v>
      </c>
      <c r="B135" s="30" t="s">
        <v>54</v>
      </c>
      <c r="C135" s="2" t="s">
        <v>0</v>
      </c>
      <c r="D135" s="53"/>
      <c r="E135" s="24"/>
      <c r="F135" s="24"/>
      <c r="G135" s="24"/>
      <c r="H135" s="24"/>
      <c r="I135" s="24"/>
      <c r="J135" s="24"/>
      <c r="K135" s="24"/>
      <c r="L135" s="62"/>
      <c r="M135" s="62"/>
      <c r="N135" s="24"/>
      <c r="O135" s="104"/>
      <c r="P135" s="24">
        <v>40</v>
      </c>
      <c r="Q135" s="24">
        <v>60</v>
      </c>
      <c r="R135" s="24">
        <v>80</v>
      </c>
      <c r="S135" s="24">
        <v>100</v>
      </c>
      <c r="T135" s="156">
        <f t="shared" si="45"/>
        <v>0</v>
      </c>
      <c r="U135" s="156">
        <f t="shared" si="46"/>
        <v>280</v>
      </c>
      <c r="Y135" s="152"/>
    </row>
    <row r="136" spans="1:25" s="39" customFormat="1" ht="12.75">
      <c r="A136" s="9"/>
      <c r="B136" s="28" t="s">
        <v>4</v>
      </c>
      <c r="C136" s="10" t="s">
        <v>55</v>
      </c>
      <c r="D136" s="53"/>
      <c r="E136" s="24"/>
      <c r="F136" s="24"/>
      <c r="G136" s="24"/>
      <c r="H136" s="21"/>
      <c r="I136" s="21"/>
      <c r="J136" s="21"/>
      <c r="K136" s="45"/>
      <c r="L136" s="62"/>
      <c r="M136" s="62"/>
      <c r="N136" s="21"/>
      <c r="O136" s="104"/>
      <c r="P136" s="44">
        <v>210</v>
      </c>
      <c r="Q136" s="44">
        <v>220</v>
      </c>
      <c r="R136" s="44">
        <v>230</v>
      </c>
      <c r="S136" s="44">
        <v>240</v>
      </c>
      <c r="T136" s="156">
        <f t="shared" si="45"/>
        <v>0</v>
      </c>
      <c r="U136" s="156">
        <f t="shared" si="46"/>
        <v>900</v>
      </c>
      <c r="Y136" s="152"/>
    </row>
    <row r="137" spans="1:25" s="39" customFormat="1" ht="12.75">
      <c r="A137" s="9"/>
      <c r="B137" s="28" t="s">
        <v>57</v>
      </c>
      <c r="C137" s="10" t="s">
        <v>30</v>
      </c>
      <c r="D137" s="53"/>
      <c r="E137" s="24"/>
      <c r="F137" s="24"/>
      <c r="G137" s="24"/>
      <c r="H137" s="21"/>
      <c r="I137" s="21"/>
      <c r="J137" s="21"/>
      <c r="K137" s="45"/>
      <c r="L137" s="62"/>
      <c r="M137" s="62"/>
      <c r="N137" s="21"/>
      <c r="O137" s="104"/>
      <c r="P137" s="44">
        <f>P135*P136/10</f>
        <v>840</v>
      </c>
      <c r="Q137" s="44">
        <f>Q135*Q136/10</f>
        <v>1320</v>
      </c>
      <c r="R137" s="44">
        <f>R135*R136/10</f>
        <v>1840</v>
      </c>
      <c r="S137" s="44">
        <f>S135*S136/10</f>
        <v>2400</v>
      </c>
      <c r="T137" s="156">
        <f aca="true" t="shared" si="77" ref="T137:T184">SUM(E137:H137)+K137</f>
        <v>0</v>
      </c>
      <c r="U137" s="156">
        <f aca="true" t="shared" si="78" ref="U137:U184">N137+SUM(P137:S137)</f>
        <v>6400</v>
      </c>
      <c r="Y137" s="152"/>
    </row>
    <row r="138" spans="1:25" s="39" customFormat="1" ht="12.75">
      <c r="A138" s="9"/>
      <c r="B138" s="28" t="s">
        <v>114</v>
      </c>
      <c r="C138" s="10" t="s">
        <v>77</v>
      </c>
      <c r="D138" s="53"/>
      <c r="E138" s="21">
        <f>E137*10/1000</f>
        <v>0</v>
      </c>
      <c r="F138" s="21">
        <f>F137*10/1000</f>
        <v>0</v>
      </c>
      <c r="G138" s="21">
        <f>G137*10/1000</f>
        <v>0</v>
      </c>
      <c r="H138" s="21"/>
      <c r="I138" s="21"/>
      <c r="J138" s="21"/>
      <c r="K138" s="21"/>
      <c r="L138" s="62"/>
      <c r="M138" s="62"/>
      <c r="N138" s="21"/>
      <c r="O138" s="104"/>
      <c r="P138" s="21">
        <f>P137*10/1000</f>
        <v>8.4</v>
      </c>
      <c r="Q138" s="21">
        <f>Q137*10/1000</f>
        <v>13.2</v>
      </c>
      <c r="R138" s="21">
        <f>R137*10/1000</f>
        <v>18.4</v>
      </c>
      <c r="S138" s="21">
        <f>S137*10/1000</f>
        <v>24</v>
      </c>
      <c r="T138" s="156">
        <f t="shared" si="77"/>
        <v>0</v>
      </c>
      <c r="U138" s="156">
        <f t="shared" si="78"/>
        <v>64</v>
      </c>
      <c r="Y138" s="152"/>
    </row>
    <row r="139" spans="1:25" s="39" customFormat="1" ht="12.75">
      <c r="A139" s="9"/>
      <c r="B139" s="28" t="s">
        <v>122</v>
      </c>
      <c r="C139" s="10" t="s">
        <v>77</v>
      </c>
      <c r="D139" s="49">
        <f>D138*30%*9.6%</f>
        <v>0</v>
      </c>
      <c r="E139" s="21">
        <f aca="true" t="shared" si="79" ref="E139:S139">E138*30%*9.6%</f>
        <v>0</v>
      </c>
      <c r="F139" s="21">
        <f t="shared" si="79"/>
        <v>0</v>
      </c>
      <c r="G139" s="21">
        <f t="shared" si="79"/>
        <v>0</v>
      </c>
      <c r="H139" s="21"/>
      <c r="I139" s="21"/>
      <c r="J139" s="21"/>
      <c r="K139" s="21"/>
      <c r="L139" s="62"/>
      <c r="M139" s="62"/>
      <c r="N139" s="21"/>
      <c r="O139" s="104"/>
      <c r="P139" s="21">
        <f t="shared" si="79"/>
        <v>0.24192</v>
      </c>
      <c r="Q139" s="21">
        <f t="shared" si="79"/>
        <v>0.38015999999999994</v>
      </c>
      <c r="R139" s="21">
        <f t="shared" si="79"/>
        <v>0.52992</v>
      </c>
      <c r="S139" s="21">
        <f t="shared" si="79"/>
        <v>0.6911999999999999</v>
      </c>
      <c r="T139" s="156">
        <f t="shared" si="77"/>
        <v>0</v>
      </c>
      <c r="U139" s="156">
        <f t="shared" si="78"/>
        <v>1.8432</v>
      </c>
      <c r="Y139" s="152"/>
    </row>
    <row r="140" spans="1:25" s="39" customFormat="1" ht="12.75">
      <c r="A140" s="174" t="s">
        <v>5</v>
      </c>
      <c r="B140" s="30" t="s">
        <v>38</v>
      </c>
      <c r="C140" s="2" t="s">
        <v>0</v>
      </c>
      <c r="D140" s="53">
        <f>D143</f>
        <v>0</v>
      </c>
      <c r="E140" s="24">
        <f aca="true" t="shared" si="80" ref="E140:Q140">E143</f>
        <v>0</v>
      </c>
      <c r="F140" s="24">
        <f t="shared" si="80"/>
        <v>0</v>
      </c>
      <c r="G140" s="24">
        <f t="shared" si="80"/>
        <v>0</v>
      </c>
      <c r="H140" s="24">
        <f t="shared" si="80"/>
        <v>0</v>
      </c>
      <c r="I140" s="24"/>
      <c r="J140" s="24"/>
      <c r="K140" s="24">
        <f t="shared" si="80"/>
        <v>0</v>
      </c>
      <c r="L140" s="62"/>
      <c r="M140" s="62"/>
      <c r="N140" s="24"/>
      <c r="O140" s="104"/>
      <c r="P140" s="24">
        <f t="shared" si="80"/>
        <v>1000</v>
      </c>
      <c r="Q140" s="24">
        <f t="shared" si="80"/>
        <v>1500</v>
      </c>
      <c r="R140" s="24">
        <f>R143</f>
        <v>2000</v>
      </c>
      <c r="S140" s="24">
        <f>S143</f>
        <v>2549.16</v>
      </c>
      <c r="T140" s="156">
        <f t="shared" si="77"/>
        <v>0</v>
      </c>
      <c r="U140" s="156">
        <f t="shared" si="78"/>
        <v>7049.16</v>
      </c>
      <c r="Y140" s="152"/>
    </row>
    <row r="141" spans="1:25" s="41" customFormat="1" ht="12.75">
      <c r="A141" s="7"/>
      <c r="B141" s="27" t="s">
        <v>85</v>
      </c>
      <c r="C141" s="5" t="s">
        <v>77</v>
      </c>
      <c r="D141" s="49">
        <f aca="true" t="shared" si="81" ref="D141:R141">D145+D150</f>
        <v>0</v>
      </c>
      <c r="E141" s="21">
        <f t="shared" si="81"/>
        <v>0</v>
      </c>
      <c r="F141" s="21">
        <f t="shared" si="81"/>
        <v>3.8</v>
      </c>
      <c r="G141" s="21">
        <f t="shared" si="81"/>
        <v>3.8</v>
      </c>
      <c r="H141" s="21">
        <f t="shared" si="81"/>
        <v>5.619</v>
      </c>
      <c r="I141" s="21">
        <f t="shared" si="81"/>
        <v>5.619</v>
      </c>
      <c r="J141" s="21">
        <f t="shared" si="81"/>
        <v>1</v>
      </c>
      <c r="K141" s="21">
        <f>K145+K150</f>
        <v>5.619</v>
      </c>
      <c r="L141" s="62">
        <f aca="true" t="shared" si="82" ref="L141:L184">K141/H141*100</f>
        <v>100</v>
      </c>
      <c r="M141" s="62">
        <f aca="true" t="shared" si="83" ref="M141:M184">K141/I141*100</f>
        <v>100</v>
      </c>
      <c r="N141" s="21">
        <f>N145+N150</f>
        <v>5.619</v>
      </c>
      <c r="O141" s="104">
        <f aca="true" t="shared" si="84" ref="O141:O184">N141/K141*100</f>
        <v>100</v>
      </c>
      <c r="P141" s="21">
        <f t="shared" si="81"/>
        <v>20.619</v>
      </c>
      <c r="Q141" s="21">
        <f t="shared" si="81"/>
        <v>20.619</v>
      </c>
      <c r="R141" s="21">
        <f t="shared" si="81"/>
        <v>20.619</v>
      </c>
      <c r="S141" s="21">
        <f>S145+S147+S149+S150</f>
        <v>22.8938</v>
      </c>
      <c r="T141" s="156">
        <f t="shared" si="77"/>
        <v>18.838</v>
      </c>
      <c r="U141" s="156">
        <f t="shared" si="78"/>
        <v>90.3698</v>
      </c>
      <c r="Y141" s="152"/>
    </row>
    <row r="142" spans="1:25" s="41" customFormat="1" ht="12.75">
      <c r="A142" s="7"/>
      <c r="B142" s="27" t="s">
        <v>122</v>
      </c>
      <c r="C142" s="5" t="s">
        <v>77</v>
      </c>
      <c r="D142" s="49">
        <f>D141*30%*9.6%</f>
        <v>0</v>
      </c>
      <c r="E142" s="21">
        <f aca="true" t="shared" si="85" ref="E142:S142">E141*30%*9.6%</f>
        <v>0</v>
      </c>
      <c r="F142" s="21">
        <f t="shared" si="85"/>
        <v>0.10944</v>
      </c>
      <c r="G142" s="21">
        <f t="shared" si="85"/>
        <v>0.10944</v>
      </c>
      <c r="H142" s="21">
        <f t="shared" si="85"/>
        <v>0.1618272</v>
      </c>
      <c r="I142" s="21"/>
      <c r="J142" s="21"/>
      <c r="K142" s="21">
        <f t="shared" si="85"/>
        <v>0.1618272</v>
      </c>
      <c r="L142" s="62">
        <f t="shared" si="82"/>
        <v>100</v>
      </c>
      <c r="M142" s="62"/>
      <c r="N142" s="21"/>
      <c r="O142" s="104">
        <f t="shared" si="84"/>
        <v>0</v>
      </c>
      <c r="P142" s="21">
        <f t="shared" si="85"/>
        <v>0.5938272</v>
      </c>
      <c r="Q142" s="21">
        <f t="shared" si="85"/>
        <v>0.5938272</v>
      </c>
      <c r="R142" s="21">
        <f t="shared" si="85"/>
        <v>0.5938272</v>
      </c>
      <c r="S142" s="21">
        <f t="shared" si="85"/>
        <v>0.65934144</v>
      </c>
      <c r="T142" s="156">
        <f t="shared" si="77"/>
        <v>0.5425344000000001</v>
      </c>
      <c r="U142" s="156">
        <f t="shared" si="78"/>
        <v>2.4408230399999997</v>
      </c>
      <c r="Y142" s="152"/>
    </row>
    <row r="143" spans="1:25" s="177" customFormat="1" ht="12.75">
      <c r="A143" s="175">
        <v>1</v>
      </c>
      <c r="B143" s="13" t="s">
        <v>107</v>
      </c>
      <c r="C143" s="33" t="s">
        <v>0</v>
      </c>
      <c r="D143" s="176"/>
      <c r="E143" s="35"/>
      <c r="F143" s="35"/>
      <c r="G143" s="35"/>
      <c r="H143" s="34"/>
      <c r="I143" s="34"/>
      <c r="J143" s="34"/>
      <c r="K143" s="46"/>
      <c r="L143" s="62"/>
      <c r="M143" s="62"/>
      <c r="N143" s="34"/>
      <c r="O143" s="104"/>
      <c r="P143" s="47">
        <f>P144+P146</f>
        <v>1000</v>
      </c>
      <c r="Q143" s="47">
        <f>Q144+Q146</f>
        <v>1500</v>
      </c>
      <c r="R143" s="47">
        <f>R144+R146</f>
        <v>2000</v>
      </c>
      <c r="S143" s="47">
        <f>S144+S146</f>
        <v>2549.16</v>
      </c>
      <c r="T143" s="156">
        <f t="shared" si="77"/>
        <v>0</v>
      </c>
      <c r="U143" s="156">
        <f t="shared" si="78"/>
        <v>7049.16</v>
      </c>
      <c r="Y143" s="152"/>
    </row>
    <row r="144" spans="1:25" s="177" customFormat="1" ht="12.75">
      <c r="A144" s="175"/>
      <c r="B144" s="13" t="s">
        <v>80</v>
      </c>
      <c r="C144" s="33"/>
      <c r="D144" s="176"/>
      <c r="E144" s="35"/>
      <c r="F144" s="35"/>
      <c r="G144" s="35"/>
      <c r="H144" s="34"/>
      <c r="I144" s="34"/>
      <c r="J144" s="34"/>
      <c r="K144" s="46"/>
      <c r="L144" s="62"/>
      <c r="M144" s="62"/>
      <c r="N144" s="34"/>
      <c r="O144" s="104"/>
      <c r="P144" s="47">
        <v>500</v>
      </c>
      <c r="Q144" s="47">
        <v>500</v>
      </c>
      <c r="R144" s="47">
        <v>500</v>
      </c>
      <c r="S144" s="47">
        <v>549.16</v>
      </c>
      <c r="T144" s="156">
        <f t="shared" si="77"/>
        <v>0</v>
      </c>
      <c r="U144" s="156">
        <f t="shared" si="78"/>
        <v>2049.16</v>
      </c>
      <c r="Y144" s="152"/>
    </row>
    <row r="145" spans="1:25" s="39" customFormat="1" ht="12.75">
      <c r="A145" s="7"/>
      <c r="B145" s="27" t="s">
        <v>98</v>
      </c>
      <c r="C145" s="5" t="s">
        <v>77</v>
      </c>
      <c r="D145" s="53"/>
      <c r="E145" s="24"/>
      <c r="F145" s="24"/>
      <c r="G145" s="24"/>
      <c r="H145" s="21"/>
      <c r="I145" s="21"/>
      <c r="J145" s="21"/>
      <c r="K145" s="45"/>
      <c r="L145" s="62"/>
      <c r="M145" s="62"/>
      <c r="N145" s="21"/>
      <c r="O145" s="104"/>
      <c r="P145" s="44">
        <f>P144*30/1000</f>
        <v>15</v>
      </c>
      <c r="Q145" s="44">
        <f>Q144*30/1000</f>
        <v>15</v>
      </c>
      <c r="R145" s="44">
        <f>R144*30/1000</f>
        <v>15</v>
      </c>
      <c r="S145" s="44">
        <f>S144*30/1000</f>
        <v>16.4748</v>
      </c>
      <c r="T145" s="156">
        <f t="shared" si="77"/>
        <v>0</v>
      </c>
      <c r="U145" s="156">
        <f t="shared" si="78"/>
        <v>61.4748</v>
      </c>
      <c r="Y145" s="152"/>
    </row>
    <row r="146" spans="1:25" s="39" customFormat="1" ht="12.75">
      <c r="A146" s="7"/>
      <c r="B146" s="27" t="s">
        <v>82</v>
      </c>
      <c r="C146" s="5"/>
      <c r="D146" s="53"/>
      <c r="E146" s="24"/>
      <c r="F146" s="24"/>
      <c r="G146" s="24"/>
      <c r="H146" s="21"/>
      <c r="I146" s="21"/>
      <c r="J146" s="21"/>
      <c r="K146" s="45"/>
      <c r="L146" s="62"/>
      <c r="M146" s="62"/>
      <c r="N146" s="21"/>
      <c r="O146" s="104"/>
      <c r="P146" s="44">
        <v>500</v>
      </c>
      <c r="Q146" s="44">
        <v>1000</v>
      </c>
      <c r="R146" s="44">
        <v>1500</v>
      </c>
      <c r="S146" s="44">
        <v>2000</v>
      </c>
      <c r="T146" s="156">
        <f t="shared" si="77"/>
        <v>0</v>
      </c>
      <c r="U146" s="156">
        <f t="shared" si="78"/>
        <v>5000</v>
      </c>
      <c r="Y146" s="152"/>
    </row>
    <row r="147" spans="1:25" s="39" customFormat="1" ht="12.75">
      <c r="A147" s="7"/>
      <c r="B147" s="27" t="s">
        <v>116</v>
      </c>
      <c r="C147" s="5" t="s">
        <v>77</v>
      </c>
      <c r="D147" s="53"/>
      <c r="E147" s="178"/>
      <c r="F147" s="178"/>
      <c r="G147" s="178"/>
      <c r="H147" s="37"/>
      <c r="I147" s="37"/>
      <c r="J147" s="37"/>
      <c r="K147" s="36"/>
      <c r="L147" s="62"/>
      <c r="M147" s="62"/>
      <c r="N147" s="37"/>
      <c r="O147" s="104"/>
      <c r="P147" s="31"/>
      <c r="Q147" s="31"/>
      <c r="R147" s="31"/>
      <c r="S147" s="31">
        <f>S146*4/10000</f>
        <v>0.8</v>
      </c>
      <c r="T147" s="156">
        <f t="shared" si="77"/>
        <v>0</v>
      </c>
      <c r="U147" s="156">
        <f t="shared" si="78"/>
        <v>0.8</v>
      </c>
      <c r="Y147" s="152"/>
    </row>
    <row r="148" spans="1:25" s="39" customFormat="1" ht="12.75">
      <c r="A148" s="7"/>
      <c r="B148" s="27" t="s">
        <v>63</v>
      </c>
      <c r="C148" s="5"/>
      <c r="D148" s="53"/>
      <c r="E148" s="178"/>
      <c r="F148" s="178"/>
      <c r="G148" s="178"/>
      <c r="H148" s="37"/>
      <c r="I148" s="37"/>
      <c r="J148" s="37"/>
      <c r="K148" s="36"/>
      <c r="L148" s="62"/>
      <c r="M148" s="62"/>
      <c r="N148" s="37"/>
      <c r="O148" s="104"/>
      <c r="P148" s="31"/>
      <c r="Q148" s="31"/>
      <c r="R148" s="31"/>
      <c r="S148" s="31"/>
      <c r="T148" s="156">
        <f t="shared" si="77"/>
        <v>0</v>
      </c>
      <c r="U148" s="156">
        <f t="shared" si="78"/>
        <v>0</v>
      </c>
      <c r="Y148" s="152"/>
    </row>
    <row r="149" spans="1:25" s="39" customFormat="1" ht="12.75">
      <c r="A149" s="7"/>
      <c r="B149" s="27" t="s">
        <v>114</v>
      </c>
      <c r="C149" s="5"/>
      <c r="D149" s="53"/>
      <c r="E149" s="178"/>
      <c r="F149" s="178"/>
      <c r="G149" s="178"/>
      <c r="H149" s="37"/>
      <c r="I149" s="37"/>
      <c r="J149" s="37"/>
      <c r="K149" s="36"/>
      <c r="L149" s="62"/>
      <c r="M149" s="62"/>
      <c r="N149" s="37"/>
      <c r="O149" s="104"/>
      <c r="P149" s="31"/>
      <c r="Q149" s="31"/>
      <c r="R149" s="31"/>
      <c r="S149" s="31">
        <f>S148*50/1000</f>
        <v>0</v>
      </c>
      <c r="T149" s="156">
        <f t="shared" si="77"/>
        <v>0</v>
      </c>
      <c r="U149" s="156">
        <f t="shared" si="78"/>
        <v>0</v>
      </c>
      <c r="Y149" s="152"/>
    </row>
    <row r="150" spans="1:25" s="39" customFormat="1" ht="12.75">
      <c r="A150" s="7">
        <v>2</v>
      </c>
      <c r="B150" s="27" t="s">
        <v>115</v>
      </c>
      <c r="C150" s="5" t="s">
        <v>77</v>
      </c>
      <c r="D150" s="53"/>
      <c r="E150" s="24"/>
      <c r="F150" s="21">
        <v>3.8</v>
      </c>
      <c r="G150" s="34">
        <v>3.8</v>
      </c>
      <c r="H150" s="34">
        <f>0.725+4.894</f>
        <v>5.619</v>
      </c>
      <c r="I150" s="34">
        <f aca="true" t="shared" si="86" ref="I150:S150">0.725+4.894</f>
        <v>5.619</v>
      </c>
      <c r="J150" s="34">
        <v>1</v>
      </c>
      <c r="K150" s="34">
        <f t="shared" si="86"/>
        <v>5.619</v>
      </c>
      <c r="L150" s="62">
        <f t="shared" si="82"/>
        <v>100</v>
      </c>
      <c r="M150" s="62">
        <f t="shared" si="83"/>
        <v>100</v>
      </c>
      <c r="N150" s="34">
        <f>0.725+4.894</f>
        <v>5.619</v>
      </c>
      <c r="O150" s="104">
        <f t="shared" si="84"/>
        <v>100</v>
      </c>
      <c r="P150" s="34">
        <f t="shared" si="86"/>
        <v>5.619</v>
      </c>
      <c r="Q150" s="34">
        <f t="shared" si="86"/>
        <v>5.619</v>
      </c>
      <c r="R150" s="34">
        <f t="shared" si="86"/>
        <v>5.619</v>
      </c>
      <c r="S150" s="34">
        <f t="shared" si="86"/>
        <v>5.619</v>
      </c>
      <c r="T150" s="156">
        <f t="shared" si="77"/>
        <v>18.838</v>
      </c>
      <c r="U150" s="156">
        <f t="shared" si="78"/>
        <v>28.095</v>
      </c>
      <c r="Y150" s="152"/>
    </row>
    <row r="151" spans="1:25" s="39" customFormat="1" ht="12.75">
      <c r="A151" s="2" t="s">
        <v>6</v>
      </c>
      <c r="B151" s="30" t="s">
        <v>18</v>
      </c>
      <c r="C151" s="2"/>
      <c r="D151" s="53"/>
      <c r="E151" s="24"/>
      <c r="F151" s="24"/>
      <c r="G151" s="24"/>
      <c r="H151" s="24"/>
      <c r="I151" s="24"/>
      <c r="J151" s="24"/>
      <c r="K151" s="45"/>
      <c r="L151" s="62"/>
      <c r="M151" s="62"/>
      <c r="N151" s="24"/>
      <c r="O151" s="104"/>
      <c r="P151" s="44"/>
      <c r="Q151" s="44"/>
      <c r="R151" s="44"/>
      <c r="S151" s="44"/>
      <c r="T151" s="156">
        <f t="shared" si="77"/>
        <v>0</v>
      </c>
      <c r="U151" s="156">
        <f t="shared" si="78"/>
        <v>0</v>
      </c>
      <c r="Y151" s="152"/>
    </row>
    <row r="152" spans="1:25" s="41" customFormat="1" ht="12.75">
      <c r="A152" s="5"/>
      <c r="B152" s="27" t="s">
        <v>89</v>
      </c>
      <c r="C152" s="5" t="s">
        <v>77</v>
      </c>
      <c r="D152" s="49">
        <f>D155+D170</f>
        <v>5.4885206885</v>
      </c>
      <c r="E152" s="21">
        <f>E155+E170</f>
        <v>6.366099747000001</v>
      </c>
      <c r="F152" s="21">
        <f aca="true" t="shared" si="87" ref="F152:S152">F155+F170</f>
        <v>6.3616253</v>
      </c>
      <c r="G152" s="21">
        <f t="shared" si="87"/>
        <v>17.2108749</v>
      </c>
      <c r="H152" s="21">
        <f t="shared" si="87"/>
        <v>12.259497341000001</v>
      </c>
      <c r="I152" s="21">
        <f t="shared" si="87"/>
        <v>23.329342750000002</v>
      </c>
      <c r="J152" s="21">
        <f t="shared" si="87"/>
        <v>7.388828756500001</v>
      </c>
      <c r="K152" s="21">
        <f t="shared" si="87"/>
        <v>12.356582375</v>
      </c>
      <c r="L152" s="62">
        <f t="shared" si="82"/>
        <v>100.79191692203655</v>
      </c>
      <c r="M152" s="62">
        <f t="shared" si="83"/>
        <v>52.96584008994424</v>
      </c>
      <c r="N152" s="21">
        <f>N155+N170</f>
        <v>23.329342750000002</v>
      </c>
      <c r="O152" s="104">
        <f t="shared" si="84"/>
        <v>188.80093250703555</v>
      </c>
      <c r="P152" s="21">
        <f t="shared" si="87"/>
        <v>23.778876</v>
      </c>
      <c r="Q152" s="21">
        <f t="shared" si="87"/>
        <v>26.984514500000003</v>
      </c>
      <c r="R152" s="21">
        <f t="shared" si="87"/>
        <v>30.74197075</v>
      </c>
      <c r="S152" s="21">
        <f t="shared" si="87"/>
        <v>33.7469395</v>
      </c>
      <c r="T152" s="156">
        <f t="shared" si="77"/>
        <v>54.554679663</v>
      </c>
      <c r="U152" s="156">
        <f t="shared" si="78"/>
        <v>138.58164349999998</v>
      </c>
      <c r="Y152" s="152"/>
    </row>
    <row r="153" spans="1:25" s="41" customFormat="1" ht="12.75">
      <c r="A153" s="5"/>
      <c r="B153" s="27" t="s">
        <v>122</v>
      </c>
      <c r="C153" s="5" t="s">
        <v>77</v>
      </c>
      <c r="D153" s="49">
        <f>D152*30%*9.6%</f>
        <v>0.1580693958288</v>
      </c>
      <c r="E153" s="21">
        <f aca="true" t="shared" si="88" ref="E153:S153">E152*30%*9.6%</f>
        <v>0.1833436727136</v>
      </c>
      <c r="F153" s="21">
        <f t="shared" si="88"/>
        <v>0.18321480864</v>
      </c>
      <c r="G153" s="21">
        <f t="shared" si="88"/>
        <v>0.49567319712</v>
      </c>
      <c r="H153" s="21">
        <f t="shared" si="88"/>
        <v>0.3530735234208</v>
      </c>
      <c r="I153" s="21">
        <f t="shared" si="88"/>
        <v>0.6718850712000001</v>
      </c>
      <c r="J153" s="21">
        <f>J152*30%*9.6%</f>
        <v>0.21279826818720002</v>
      </c>
      <c r="K153" s="21">
        <f t="shared" si="88"/>
        <v>0.3558695724</v>
      </c>
      <c r="L153" s="62">
        <f t="shared" si="82"/>
        <v>100.79191692203655</v>
      </c>
      <c r="M153" s="62">
        <f t="shared" si="83"/>
        <v>52.96584008994424</v>
      </c>
      <c r="N153" s="21">
        <f>N152*30%*9.6%</f>
        <v>0.6718850712000001</v>
      </c>
      <c r="O153" s="104">
        <f t="shared" si="84"/>
        <v>188.80093250703555</v>
      </c>
      <c r="P153" s="21">
        <f t="shared" si="88"/>
        <v>0.6848316288</v>
      </c>
      <c r="Q153" s="21">
        <f t="shared" si="88"/>
        <v>0.7771540176000001</v>
      </c>
      <c r="R153" s="21">
        <f t="shared" si="88"/>
        <v>0.8853687576000001</v>
      </c>
      <c r="S153" s="21">
        <f t="shared" si="88"/>
        <v>0.9719118576000002</v>
      </c>
      <c r="T153" s="156">
        <f t="shared" si="77"/>
        <v>1.5711747742944002</v>
      </c>
      <c r="U153" s="156">
        <f t="shared" si="78"/>
        <v>3.991151332800001</v>
      </c>
      <c r="Y153" s="152"/>
    </row>
    <row r="154" spans="1:28" s="39" customFormat="1" ht="16.5" customHeight="1">
      <c r="A154" s="2">
        <v>1</v>
      </c>
      <c r="B154" s="30" t="s">
        <v>19</v>
      </c>
      <c r="C154" s="2" t="s">
        <v>27</v>
      </c>
      <c r="D154" s="20">
        <f>D156+D159+D162+D165</f>
        <v>1263</v>
      </c>
      <c r="E154" s="20">
        <f aca="true" t="shared" si="89" ref="E154:S154">E156+E159+E162+E165</f>
        <v>2845</v>
      </c>
      <c r="F154" s="20">
        <f t="shared" si="89"/>
        <v>4840</v>
      </c>
      <c r="G154" s="20">
        <f t="shared" si="89"/>
        <v>4335</v>
      </c>
      <c r="H154" s="20">
        <f t="shared" si="89"/>
        <v>3220</v>
      </c>
      <c r="I154" s="20">
        <f t="shared" si="89"/>
        <v>7370</v>
      </c>
      <c r="J154" s="20">
        <f t="shared" si="89"/>
        <v>3070</v>
      </c>
      <c r="K154" s="20">
        <f t="shared" si="89"/>
        <v>3615</v>
      </c>
      <c r="L154" s="62">
        <f t="shared" si="82"/>
        <v>112.26708074534162</v>
      </c>
      <c r="M154" s="62">
        <f t="shared" si="83"/>
        <v>49.05020352781547</v>
      </c>
      <c r="N154" s="20">
        <f>N156+N159+N162+N165</f>
        <v>7370</v>
      </c>
      <c r="O154" s="104">
        <f t="shared" si="84"/>
        <v>203.87275242047025</v>
      </c>
      <c r="P154" s="20">
        <f t="shared" si="89"/>
        <v>7980</v>
      </c>
      <c r="Q154" s="20">
        <f t="shared" si="89"/>
        <v>10035</v>
      </c>
      <c r="R154" s="20">
        <f t="shared" si="89"/>
        <v>11090</v>
      </c>
      <c r="S154" s="20">
        <f t="shared" si="89"/>
        <v>12200</v>
      </c>
      <c r="T154" s="156">
        <f t="shared" si="77"/>
        <v>18855</v>
      </c>
      <c r="U154" s="156">
        <f t="shared" si="78"/>
        <v>48675</v>
      </c>
      <c r="V154" s="153"/>
      <c r="W154" s="153"/>
      <c r="X154" s="153"/>
      <c r="Y154" s="152"/>
      <c r="Z154" s="153"/>
      <c r="AA154" s="153"/>
      <c r="AB154" s="153"/>
    </row>
    <row r="155" spans="1:25" s="41" customFormat="1" ht="16.5" customHeight="1">
      <c r="A155" s="5"/>
      <c r="B155" s="27" t="s">
        <v>90</v>
      </c>
      <c r="C155" s="10" t="s">
        <v>77</v>
      </c>
      <c r="D155" s="49">
        <f>D158+D161+D164+D167</f>
        <v>3.8182856900000006</v>
      </c>
      <c r="E155" s="21">
        <f>E158+E161+E164+E167</f>
        <v>4.153476135000001</v>
      </c>
      <c r="F155" s="21">
        <f>F158+F161+F164+F167</f>
        <v>4.1139083</v>
      </c>
      <c r="G155" s="21">
        <f aca="true" t="shared" si="90" ref="G155:S155">G158+G161+G164+G167</f>
        <v>13.4042574</v>
      </c>
      <c r="H155" s="21">
        <f t="shared" si="90"/>
        <v>8.578824500000001</v>
      </c>
      <c r="I155" s="21">
        <f t="shared" si="90"/>
        <v>19.52272525</v>
      </c>
      <c r="J155" s="21">
        <f>J158+J161+J164+J167</f>
        <v>3.7825480975</v>
      </c>
      <c r="K155" s="21">
        <f t="shared" si="90"/>
        <v>8.549964875</v>
      </c>
      <c r="L155" s="62">
        <f t="shared" si="82"/>
        <v>99.66359464516378</v>
      </c>
      <c r="M155" s="62">
        <f t="shared" si="83"/>
        <v>43.79493521274649</v>
      </c>
      <c r="N155" s="21">
        <f>N158+N161+N164+N167</f>
        <v>19.52272525</v>
      </c>
      <c r="O155" s="104">
        <f t="shared" si="84"/>
        <v>228.3369058869964</v>
      </c>
      <c r="P155" s="21">
        <f t="shared" si="90"/>
        <v>19.5372165</v>
      </c>
      <c r="Q155" s="21">
        <f t="shared" si="90"/>
        <v>22.525334</v>
      </c>
      <c r="R155" s="21">
        <f t="shared" si="90"/>
        <v>26.06526925</v>
      </c>
      <c r="S155" s="21">
        <f t="shared" si="90"/>
        <v>28.852717000000002</v>
      </c>
      <c r="T155" s="156">
        <f t="shared" si="77"/>
        <v>38.800431210000006</v>
      </c>
      <c r="U155" s="156">
        <f t="shared" si="78"/>
        <v>116.503262</v>
      </c>
      <c r="Y155" s="152"/>
    </row>
    <row r="156" spans="1:25" s="41" customFormat="1" ht="12.75">
      <c r="A156" s="9" t="s">
        <v>3</v>
      </c>
      <c r="B156" s="27" t="s">
        <v>21</v>
      </c>
      <c r="C156" s="5" t="s">
        <v>27</v>
      </c>
      <c r="D156" s="49">
        <v>7</v>
      </c>
      <c r="E156" s="21">
        <v>37</v>
      </c>
      <c r="F156" s="21">
        <v>80</v>
      </c>
      <c r="G156" s="21">
        <v>35</v>
      </c>
      <c r="H156" s="21">
        <v>31</v>
      </c>
      <c r="I156" s="21">
        <v>120</v>
      </c>
      <c r="J156" s="21">
        <v>19</v>
      </c>
      <c r="K156" s="21">
        <v>25</v>
      </c>
      <c r="L156" s="62">
        <f t="shared" si="82"/>
        <v>80.64516129032258</v>
      </c>
      <c r="M156" s="62">
        <f t="shared" si="83"/>
        <v>20.833333333333336</v>
      </c>
      <c r="N156" s="21">
        <v>120</v>
      </c>
      <c r="O156" s="104">
        <f t="shared" si="84"/>
        <v>480</v>
      </c>
      <c r="P156" s="21">
        <v>80</v>
      </c>
      <c r="Q156" s="21">
        <v>85</v>
      </c>
      <c r="R156" s="21">
        <v>90</v>
      </c>
      <c r="S156" s="21">
        <v>100</v>
      </c>
      <c r="T156" s="156">
        <f t="shared" si="77"/>
        <v>208</v>
      </c>
      <c r="U156" s="156">
        <f t="shared" si="78"/>
        <v>475</v>
      </c>
      <c r="Y156" s="152"/>
    </row>
    <row r="157" spans="2:25" s="171" customFormat="1" ht="16.5" customHeight="1">
      <c r="B157" s="28" t="s">
        <v>88</v>
      </c>
      <c r="C157" s="10" t="s">
        <v>86</v>
      </c>
      <c r="D157" s="49">
        <f>D156*1.5*0.4*150/1000</f>
        <v>0.63</v>
      </c>
      <c r="E157" s="21">
        <f>D156*1.5*0.4*150/1000</f>
        <v>0.63</v>
      </c>
      <c r="F157" s="21">
        <v>0.6</v>
      </c>
      <c r="G157" s="21">
        <f>F156*1.5*0.4*150/1000</f>
        <v>7.2</v>
      </c>
      <c r="H157" s="21">
        <f>G156*1.5*0.4*150/1000</f>
        <v>3.15</v>
      </c>
      <c r="I157" s="21">
        <f>I156*200/1000</f>
        <v>24</v>
      </c>
      <c r="J157" s="21">
        <f>J156*200/1000</f>
        <v>3.8</v>
      </c>
      <c r="K157" s="21">
        <f>K156*200/1000</f>
        <v>5</v>
      </c>
      <c r="L157" s="62">
        <f t="shared" si="82"/>
        <v>158.73015873015873</v>
      </c>
      <c r="M157" s="62">
        <f t="shared" si="83"/>
        <v>20.833333333333336</v>
      </c>
      <c r="N157" s="21">
        <f>N156*200/1000</f>
        <v>24</v>
      </c>
      <c r="O157" s="104">
        <f t="shared" si="84"/>
        <v>480</v>
      </c>
      <c r="P157" s="21">
        <f>N156*1.5*0.4*150/1000</f>
        <v>10.8</v>
      </c>
      <c r="Q157" s="21">
        <f>P156*1.5*0.4*150/1000</f>
        <v>7.2</v>
      </c>
      <c r="R157" s="21">
        <f>Q156*1.5*0.4*150/1000</f>
        <v>7.65</v>
      </c>
      <c r="S157" s="21">
        <f>R156*1.5*0.4*150/1000</f>
        <v>8.1</v>
      </c>
      <c r="T157" s="156">
        <f t="shared" si="77"/>
        <v>16.58</v>
      </c>
      <c r="U157" s="156">
        <f t="shared" si="78"/>
        <v>57.75</v>
      </c>
      <c r="Y157" s="152"/>
    </row>
    <row r="158" spans="1:25" s="171" customFormat="1" ht="16.5" customHeight="1">
      <c r="A158" s="9"/>
      <c r="B158" s="28" t="s">
        <v>87</v>
      </c>
      <c r="C158" s="10" t="s">
        <v>77</v>
      </c>
      <c r="D158" s="49">
        <f>D157*28.05/1000</f>
        <v>0.017671500000000003</v>
      </c>
      <c r="E158" s="49">
        <f aca="true" t="shared" si="91" ref="E158:S158">E157*28.05/1000</f>
        <v>0.017671500000000003</v>
      </c>
      <c r="F158" s="49">
        <f t="shared" si="91"/>
        <v>0.016829999999999998</v>
      </c>
      <c r="G158" s="49">
        <f t="shared" si="91"/>
        <v>0.20196</v>
      </c>
      <c r="H158" s="49">
        <f t="shared" si="91"/>
        <v>0.0883575</v>
      </c>
      <c r="I158" s="49">
        <f t="shared" si="91"/>
        <v>0.6732</v>
      </c>
      <c r="J158" s="49">
        <f t="shared" si="91"/>
        <v>0.10659</v>
      </c>
      <c r="K158" s="49">
        <f t="shared" si="91"/>
        <v>0.14025</v>
      </c>
      <c r="L158" s="62">
        <f t="shared" si="82"/>
        <v>158.73015873015873</v>
      </c>
      <c r="M158" s="62">
        <f t="shared" si="83"/>
        <v>20.833333333333336</v>
      </c>
      <c r="N158" s="49">
        <f t="shared" si="91"/>
        <v>0.6732</v>
      </c>
      <c r="O158" s="104">
        <f t="shared" si="91"/>
        <v>13.464</v>
      </c>
      <c r="P158" s="49">
        <f t="shared" si="91"/>
        <v>0.30294000000000004</v>
      </c>
      <c r="Q158" s="49">
        <f t="shared" si="91"/>
        <v>0.20196</v>
      </c>
      <c r="R158" s="49">
        <f t="shared" si="91"/>
        <v>0.2145825</v>
      </c>
      <c r="S158" s="49">
        <f t="shared" si="91"/>
        <v>0.227205</v>
      </c>
      <c r="T158" s="156">
        <f t="shared" si="77"/>
        <v>0.46506899999999995</v>
      </c>
      <c r="U158" s="156">
        <f t="shared" si="78"/>
        <v>1.6198875</v>
      </c>
      <c r="Y158" s="152"/>
    </row>
    <row r="159" spans="1:25" s="41" customFormat="1" ht="12.75">
      <c r="A159" s="5" t="s">
        <v>3</v>
      </c>
      <c r="B159" s="27" t="s">
        <v>22</v>
      </c>
      <c r="C159" s="5" t="s">
        <v>27</v>
      </c>
      <c r="D159" s="49">
        <v>537</v>
      </c>
      <c r="E159" s="21">
        <v>1655</v>
      </c>
      <c r="F159" s="21">
        <v>2500</v>
      </c>
      <c r="G159" s="21">
        <v>1800</v>
      </c>
      <c r="H159" s="21">
        <v>1726</v>
      </c>
      <c r="I159" s="21">
        <v>3050</v>
      </c>
      <c r="J159" s="21">
        <v>1654</v>
      </c>
      <c r="K159" s="21">
        <v>2000</v>
      </c>
      <c r="L159" s="62">
        <f t="shared" si="82"/>
        <v>115.87485515643105</v>
      </c>
      <c r="M159" s="62">
        <f t="shared" si="83"/>
        <v>65.57377049180327</v>
      </c>
      <c r="N159" s="21">
        <v>3050</v>
      </c>
      <c r="O159" s="104">
        <f t="shared" si="84"/>
        <v>152.5</v>
      </c>
      <c r="P159" s="21">
        <v>3200</v>
      </c>
      <c r="Q159" s="21">
        <v>4000</v>
      </c>
      <c r="R159" s="21">
        <v>4500</v>
      </c>
      <c r="S159" s="21">
        <v>5000</v>
      </c>
      <c r="T159" s="156">
        <f t="shared" si="77"/>
        <v>9681</v>
      </c>
      <c r="U159" s="156">
        <f t="shared" si="78"/>
        <v>19750</v>
      </c>
      <c r="Y159" s="152"/>
    </row>
    <row r="160" spans="1:25" s="171" customFormat="1" ht="16.5" customHeight="1">
      <c r="A160" s="9"/>
      <c r="B160" s="28" t="s">
        <v>88</v>
      </c>
      <c r="C160" s="10" t="s">
        <v>86</v>
      </c>
      <c r="D160" s="49">
        <f>D159*1.5*0.4*150/1000</f>
        <v>48.330000000000005</v>
      </c>
      <c r="E160" s="21">
        <f>D159*1.5*0.4*150/1000</f>
        <v>48.330000000000005</v>
      </c>
      <c r="F160" s="21">
        <v>48</v>
      </c>
      <c r="G160" s="21">
        <f>F159*1.5*0.4*150/1000</f>
        <v>225</v>
      </c>
      <c r="H160" s="21">
        <f>G159*1.5*0.4*150/1000</f>
        <v>162</v>
      </c>
      <c r="I160" s="21">
        <f>I159*0.4*150/1000</f>
        <v>183</v>
      </c>
      <c r="J160" s="21">
        <f>J159*0.2*150/1000</f>
        <v>49.62</v>
      </c>
      <c r="K160" s="21">
        <f>K159*0.4*150/1000</f>
        <v>120</v>
      </c>
      <c r="L160" s="62">
        <f t="shared" si="82"/>
        <v>74.07407407407408</v>
      </c>
      <c r="M160" s="62">
        <f t="shared" si="83"/>
        <v>65.57377049180327</v>
      </c>
      <c r="N160" s="21">
        <f>N159*0.4*150/1000</f>
        <v>183</v>
      </c>
      <c r="O160" s="104">
        <f t="shared" si="84"/>
        <v>152.5</v>
      </c>
      <c r="P160" s="21">
        <f>N159*1.5*0.4*150/1000</f>
        <v>274.5</v>
      </c>
      <c r="Q160" s="21">
        <f>P159*1.5*0.4*150/1000</f>
        <v>288</v>
      </c>
      <c r="R160" s="21">
        <f>Q159*1.5*0.4*150/1000</f>
        <v>360</v>
      </c>
      <c r="S160" s="21">
        <f>R159*1.5*0.4*150/1000</f>
        <v>405</v>
      </c>
      <c r="T160" s="156">
        <f t="shared" si="77"/>
        <v>603.33</v>
      </c>
      <c r="U160" s="156">
        <f t="shared" si="78"/>
        <v>1510.5</v>
      </c>
      <c r="Y160" s="152"/>
    </row>
    <row r="161" spans="1:25" s="171" customFormat="1" ht="16.5" customHeight="1">
      <c r="A161" s="9"/>
      <c r="B161" s="28" t="s">
        <v>87</v>
      </c>
      <c r="C161" s="10" t="s">
        <v>77</v>
      </c>
      <c r="D161" s="49">
        <f>D160*36.438/1000</f>
        <v>1.7610485400000002</v>
      </c>
      <c r="E161" s="49">
        <f aca="true" t="shared" si="92" ref="E161:S161">E160*36.438/1000</f>
        <v>1.7610485400000002</v>
      </c>
      <c r="F161" s="49">
        <f t="shared" si="92"/>
        <v>1.7490240000000001</v>
      </c>
      <c r="G161" s="49">
        <f t="shared" si="92"/>
        <v>8.198550000000001</v>
      </c>
      <c r="H161" s="49">
        <f t="shared" si="92"/>
        <v>5.9029560000000005</v>
      </c>
      <c r="I161" s="49">
        <f t="shared" si="92"/>
        <v>6.668154</v>
      </c>
      <c r="J161" s="49">
        <f t="shared" si="92"/>
        <v>1.80805356</v>
      </c>
      <c r="K161" s="49">
        <f t="shared" si="92"/>
        <v>4.37256</v>
      </c>
      <c r="L161" s="62">
        <f t="shared" si="82"/>
        <v>74.07407407407408</v>
      </c>
      <c r="M161" s="62">
        <f t="shared" si="83"/>
        <v>65.57377049180327</v>
      </c>
      <c r="N161" s="49">
        <f t="shared" si="92"/>
        <v>6.668154</v>
      </c>
      <c r="O161" s="104">
        <f t="shared" si="92"/>
        <v>5.556795</v>
      </c>
      <c r="P161" s="49">
        <f t="shared" si="92"/>
        <v>10.002231</v>
      </c>
      <c r="Q161" s="49">
        <f t="shared" si="92"/>
        <v>10.494144</v>
      </c>
      <c r="R161" s="49">
        <f t="shared" si="92"/>
        <v>13.11768</v>
      </c>
      <c r="S161" s="49">
        <f t="shared" si="92"/>
        <v>14.757390000000001</v>
      </c>
      <c r="T161" s="156">
        <f t="shared" si="77"/>
        <v>21.98413854</v>
      </c>
      <c r="U161" s="156">
        <f t="shared" si="78"/>
        <v>55.039599</v>
      </c>
      <c r="Y161" s="152"/>
    </row>
    <row r="162" spans="1:25" s="41" customFormat="1" ht="12.75">
      <c r="A162" s="5" t="s">
        <v>3</v>
      </c>
      <c r="B162" s="27" t="s">
        <v>23</v>
      </c>
      <c r="C162" s="5" t="s">
        <v>27</v>
      </c>
      <c r="D162" s="49">
        <v>566</v>
      </c>
      <c r="E162" s="21">
        <v>759</v>
      </c>
      <c r="F162" s="21">
        <v>1500</v>
      </c>
      <c r="G162" s="21">
        <v>1500</v>
      </c>
      <c r="H162" s="21">
        <v>638</v>
      </c>
      <c r="I162" s="21">
        <v>2500</v>
      </c>
      <c r="J162" s="21">
        <v>751</v>
      </c>
      <c r="K162" s="21">
        <v>800</v>
      </c>
      <c r="L162" s="62">
        <f t="shared" si="82"/>
        <v>125.39184952978057</v>
      </c>
      <c r="M162" s="62">
        <f t="shared" si="83"/>
        <v>32</v>
      </c>
      <c r="N162" s="21">
        <v>2500</v>
      </c>
      <c r="O162" s="104">
        <f t="shared" si="84"/>
        <v>312.5</v>
      </c>
      <c r="P162" s="21">
        <v>2700</v>
      </c>
      <c r="Q162" s="21">
        <v>3500</v>
      </c>
      <c r="R162" s="21">
        <v>3700</v>
      </c>
      <c r="S162" s="21">
        <v>4000</v>
      </c>
      <c r="T162" s="156">
        <f t="shared" si="77"/>
        <v>5197</v>
      </c>
      <c r="U162" s="156">
        <f t="shared" si="78"/>
        <v>16400</v>
      </c>
      <c r="Y162" s="152"/>
    </row>
    <row r="163" spans="1:25" s="171" customFormat="1" ht="16.5" customHeight="1">
      <c r="A163" s="9"/>
      <c r="B163" s="28" t="s">
        <v>88</v>
      </c>
      <c r="C163" s="10" t="s">
        <v>86</v>
      </c>
      <c r="D163" s="49">
        <f>D162*2*50/1000</f>
        <v>56.6</v>
      </c>
      <c r="E163" s="21">
        <f>E162*2*50/1000</f>
        <v>75.9</v>
      </c>
      <c r="F163" s="21">
        <v>75</v>
      </c>
      <c r="G163" s="21">
        <f>G162*2*50/1000</f>
        <v>150</v>
      </c>
      <c r="H163" s="21">
        <f>H162*2*50/1000</f>
        <v>63.8</v>
      </c>
      <c r="I163" s="21">
        <f>I162*3*50/1000</f>
        <v>375</v>
      </c>
      <c r="J163" s="21">
        <f>J162*50*1.5/1000</f>
        <v>56.325</v>
      </c>
      <c r="K163" s="21">
        <f>K162*3*50/1000</f>
        <v>120</v>
      </c>
      <c r="L163" s="62">
        <f t="shared" si="82"/>
        <v>188.08777429467085</v>
      </c>
      <c r="M163" s="62">
        <f t="shared" si="83"/>
        <v>32</v>
      </c>
      <c r="N163" s="21">
        <f>N162*3*50/1000</f>
        <v>375</v>
      </c>
      <c r="O163" s="104">
        <f t="shared" si="84"/>
        <v>312.5</v>
      </c>
      <c r="P163" s="21">
        <f>P162*2*50/1000</f>
        <v>270</v>
      </c>
      <c r="Q163" s="21">
        <f>Q162*2*50/1000</f>
        <v>350</v>
      </c>
      <c r="R163" s="21">
        <f>R162*2*50/1000</f>
        <v>370</v>
      </c>
      <c r="S163" s="21">
        <f>S162*2*50/1000</f>
        <v>400</v>
      </c>
      <c r="T163" s="156">
        <f t="shared" si="77"/>
        <v>484.7</v>
      </c>
      <c r="U163" s="156">
        <f t="shared" si="78"/>
        <v>1765</v>
      </c>
      <c r="Y163" s="152"/>
    </row>
    <row r="164" spans="1:25" s="171" customFormat="1" ht="16.5" customHeight="1">
      <c r="A164" s="9"/>
      <c r="B164" s="28" t="s">
        <v>87</v>
      </c>
      <c r="C164" s="10" t="s">
        <v>77</v>
      </c>
      <c r="D164" s="49">
        <f>D163*29.92/1000</f>
        <v>1.6934720000000003</v>
      </c>
      <c r="E164" s="49">
        <f aca="true" t="shared" si="93" ref="E164:S164">E163*29.92/1000</f>
        <v>2.2709280000000005</v>
      </c>
      <c r="F164" s="49">
        <f t="shared" si="93"/>
        <v>2.244</v>
      </c>
      <c r="G164" s="49">
        <f t="shared" si="93"/>
        <v>4.488</v>
      </c>
      <c r="H164" s="49">
        <f t="shared" si="93"/>
        <v>1.908896</v>
      </c>
      <c r="I164" s="49">
        <f t="shared" si="93"/>
        <v>11.22</v>
      </c>
      <c r="J164" s="49">
        <f t="shared" si="93"/>
        <v>1.6852440000000002</v>
      </c>
      <c r="K164" s="49">
        <f t="shared" si="93"/>
        <v>3.5904000000000003</v>
      </c>
      <c r="L164" s="62">
        <f t="shared" si="82"/>
        <v>188.08777429467088</v>
      </c>
      <c r="M164" s="62">
        <f t="shared" si="83"/>
        <v>32</v>
      </c>
      <c r="N164" s="49">
        <f t="shared" si="93"/>
        <v>11.22</v>
      </c>
      <c r="O164" s="104">
        <f t="shared" si="93"/>
        <v>9.35</v>
      </c>
      <c r="P164" s="49">
        <f t="shared" si="93"/>
        <v>8.0784</v>
      </c>
      <c r="Q164" s="49">
        <f t="shared" si="93"/>
        <v>10.472</v>
      </c>
      <c r="R164" s="49">
        <f t="shared" si="93"/>
        <v>11.070400000000001</v>
      </c>
      <c r="S164" s="49">
        <f t="shared" si="93"/>
        <v>11.968</v>
      </c>
      <c r="T164" s="156">
        <f t="shared" si="77"/>
        <v>14.502224000000002</v>
      </c>
      <c r="U164" s="156">
        <f t="shared" si="78"/>
        <v>52.808800000000005</v>
      </c>
      <c r="Y164" s="152"/>
    </row>
    <row r="165" spans="1:25" s="41" customFormat="1" ht="12.75">
      <c r="A165" s="5" t="s">
        <v>3</v>
      </c>
      <c r="B165" s="27" t="s">
        <v>108</v>
      </c>
      <c r="C165" s="5" t="s">
        <v>27</v>
      </c>
      <c r="D165" s="49">
        <v>153</v>
      </c>
      <c r="E165" s="21">
        <v>394</v>
      </c>
      <c r="F165" s="21">
        <v>760</v>
      </c>
      <c r="G165" s="21">
        <v>1000</v>
      </c>
      <c r="H165" s="21">
        <v>825</v>
      </c>
      <c r="I165" s="21">
        <v>1700</v>
      </c>
      <c r="J165" s="21">
        <f>628+18</f>
        <v>646</v>
      </c>
      <c r="K165" s="21">
        <v>790</v>
      </c>
      <c r="L165" s="62">
        <f t="shared" si="82"/>
        <v>95.75757575757575</v>
      </c>
      <c r="M165" s="62">
        <f t="shared" si="83"/>
        <v>46.470588235294116</v>
      </c>
      <c r="N165" s="21">
        <v>1700</v>
      </c>
      <c r="O165" s="104">
        <f t="shared" si="84"/>
        <v>215.18987341772151</v>
      </c>
      <c r="P165" s="21">
        <v>2000</v>
      </c>
      <c r="Q165" s="21">
        <v>2450</v>
      </c>
      <c r="R165" s="21">
        <v>2800</v>
      </c>
      <c r="S165" s="21">
        <v>3100</v>
      </c>
      <c r="T165" s="156">
        <f t="shared" si="77"/>
        <v>3769</v>
      </c>
      <c r="U165" s="156">
        <f t="shared" si="78"/>
        <v>12050</v>
      </c>
      <c r="Y165" s="152"/>
    </row>
    <row r="166" spans="1:25" s="171" customFormat="1" ht="16.5" customHeight="1">
      <c r="A166" s="9"/>
      <c r="B166" s="28" t="s">
        <v>88</v>
      </c>
      <c r="C166" s="10" t="s">
        <v>86</v>
      </c>
      <c r="D166" s="49">
        <f>D165*2*25/1000</f>
        <v>7.65</v>
      </c>
      <c r="E166" s="21">
        <f>D165*1.5*0.4*25/1000</f>
        <v>2.2950000000000004</v>
      </c>
      <c r="F166" s="21">
        <v>2.3</v>
      </c>
      <c r="G166" s="21">
        <f>F165*1.5*0.4*25/1000</f>
        <v>11.4</v>
      </c>
      <c r="H166" s="21">
        <f>G165*1.5*0.4*25/1000</f>
        <v>15</v>
      </c>
      <c r="I166" s="21">
        <f>I165*0.5*25/1000</f>
        <v>21.25</v>
      </c>
      <c r="J166" s="21">
        <f>J165*0.25*25/1000</f>
        <v>4.0375</v>
      </c>
      <c r="K166" s="21">
        <f>K165*0.5*25/1000</f>
        <v>9.875</v>
      </c>
      <c r="L166" s="62">
        <f t="shared" si="82"/>
        <v>65.83333333333333</v>
      </c>
      <c r="M166" s="62">
        <f t="shared" si="83"/>
        <v>46.470588235294116</v>
      </c>
      <c r="N166" s="21">
        <f>N165*0.5*25/1000</f>
        <v>21.25</v>
      </c>
      <c r="O166" s="104">
        <f t="shared" si="84"/>
        <v>215.18987341772151</v>
      </c>
      <c r="P166" s="21">
        <f>N165*1.5*0.4*25/1000</f>
        <v>25.5</v>
      </c>
      <c r="Q166" s="21">
        <f>P165*1.5*0.4*25/1000</f>
        <v>30</v>
      </c>
      <c r="R166" s="21">
        <f>Q165*1.5*0.4*25/1000</f>
        <v>36.75</v>
      </c>
      <c r="S166" s="21">
        <f>R165*1.5*0.4*25/1000</f>
        <v>42</v>
      </c>
      <c r="T166" s="156">
        <f t="shared" si="77"/>
        <v>40.870000000000005</v>
      </c>
      <c r="U166" s="156">
        <f t="shared" si="78"/>
        <v>155.5</v>
      </c>
      <c r="Y166" s="152"/>
    </row>
    <row r="167" spans="1:25" s="171" customFormat="1" ht="16.5" customHeight="1">
      <c r="A167" s="9"/>
      <c r="B167" s="28" t="s">
        <v>87</v>
      </c>
      <c r="C167" s="10" t="s">
        <v>77</v>
      </c>
      <c r="D167" s="49">
        <f>D166*45.241/1000</f>
        <v>0.34609365000000003</v>
      </c>
      <c r="E167" s="49">
        <f aca="true" t="shared" si="94" ref="E167:S167">E166*45.241/1000</f>
        <v>0.10382809500000002</v>
      </c>
      <c r="F167" s="49">
        <f t="shared" si="94"/>
        <v>0.1040543</v>
      </c>
      <c r="G167" s="49">
        <f t="shared" si="94"/>
        <v>0.5157474</v>
      </c>
      <c r="H167" s="49">
        <f t="shared" si="94"/>
        <v>0.678615</v>
      </c>
      <c r="I167" s="49">
        <f t="shared" si="94"/>
        <v>0.96137125</v>
      </c>
      <c r="J167" s="49">
        <f t="shared" si="94"/>
        <v>0.18266053749999997</v>
      </c>
      <c r="K167" s="49">
        <f t="shared" si="94"/>
        <v>0.446754875</v>
      </c>
      <c r="L167" s="62">
        <f t="shared" si="82"/>
        <v>65.83333333333333</v>
      </c>
      <c r="M167" s="62">
        <f t="shared" si="83"/>
        <v>46.470588235294116</v>
      </c>
      <c r="N167" s="49">
        <f t="shared" si="94"/>
        <v>0.96137125</v>
      </c>
      <c r="O167" s="104">
        <f t="shared" si="94"/>
        <v>9.735405063291138</v>
      </c>
      <c r="P167" s="49">
        <f t="shared" si="94"/>
        <v>1.1536455</v>
      </c>
      <c r="Q167" s="49">
        <f t="shared" si="94"/>
        <v>1.35723</v>
      </c>
      <c r="R167" s="49">
        <f t="shared" si="94"/>
        <v>1.66260675</v>
      </c>
      <c r="S167" s="49">
        <f t="shared" si="94"/>
        <v>1.900122</v>
      </c>
      <c r="T167" s="156">
        <f t="shared" si="77"/>
        <v>1.84899967</v>
      </c>
      <c r="U167" s="156">
        <f t="shared" si="78"/>
        <v>7.034975500000001</v>
      </c>
      <c r="Y167" s="152"/>
    </row>
    <row r="168" spans="1:25" s="42" customFormat="1" ht="12.75">
      <c r="A168" s="2">
        <v>2</v>
      </c>
      <c r="B168" s="30" t="s">
        <v>20</v>
      </c>
      <c r="C168" s="2" t="s">
        <v>27</v>
      </c>
      <c r="D168" s="53">
        <v>15357</v>
      </c>
      <c r="E168" s="20">
        <v>20344</v>
      </c>
      <c r="F168" s="20">
        <v>30000</v>
      </c>
      <c r="G168" s="20">
        <v>35000</v>
      </c>
      <c r="H168" s="20">
        <v>33842</v>
      </c>
      <c r="I168" s="20">
        <v>35000</v>
      </c>
      <c r="J168" s="20">
        <v>33158</v>
      </c>
      <c r="K168" s="20">
        <v>35000</v>
      </c>
      <c r="L168" s="62">
        <f t="shared" si="82"/>
        <v>103.42178358253058</v>
      </c>
      <c r="M168" s="62">
        <f t="shared" si="83"/>
        <v>100</v>
      </c>
      <c r="N168" s="20">
        <v>35000</v>
      </c>
      <c r="O168" s="104">
        <f t="shared" si="84"/>
        <v>100</v>
      </c>
      <c r="P168" s="20">
        <v>39000</v>
      </c>
      <c r="Q168" s="20">
        <v>41000</v>
      </c>
      <c r="R168" s="20">
        <v>43000</v>
      </c>
      <c r="S168" s="20">
        <v>45000</v>
      </c>
      <c r="T168" s="156">
        <f t="shared" si="77"/>
        <v>154186</v>
      </c>
      <c r="U168" s="156">
        <f t="shared" si="78"/>
        <v>203000</v>
      </c>
      <c r="Y168" s="152"/>
    </row>
    <row r="169" spans="1:25" s="158" customFormat="1" ht="12.75">
      <c r="A169" s="7" t="s">
        <v>3</v>
      </c>
      <c r="B169" s="27" t="s">
        <v>88</v>
      </c>
      <c r="C169" s="5" t="s">
        <v>78</v>
      </c>
      <c r="D169" s="49">
        <f>D168*1.5/1000</f>
        <v>23.0355</v>
      </c>
      <c r="E169" s="21">
        <f>E168*1.5/1000</f>
        <v>30.516</v>
      </c>
      <c r="F169" s="21">
        <v>31</v>
      </c>
      <c r="G169" s="21">
        <f>G168*1.5/1000</f>
        <v>52.5</v>
      </c>
      <c r="H169" s="21">
        <f>H168*1.5/1000</f>
        <v>50.763</v>
      </c>
      <c r="I169" s="21">
        <f>I168*1.5/1000</f>
        <v>52.5</v>
      </c>
      <c r="J169" s="21">
        <f>J168*1.5/1000</f>
        <v>49.737</v>
      </c>
      <c r="K169" s="21">
        <f>K168*1.5/1000</f>
        <v>52.5</v>
      </c>
      <c r="L169" s="62">
        <f t="shared" si="82"/>
        <v>103.42178358253058</v>
      </c>
      <c r="M169" s="62">
        <f t="shared" si="83"/>
        <v>100</v>
      </c>
      <c r="N169" s="21">
        <f>N168*1.5/1000</f>
        <v>52.5</v>
      </c>
      <c r="O169" s="104">
        <f t="shared" si="84"/>
        <v>100</v>
      </c>
      <c r="P169" s="21">
        <f>P168*1.5/1000</f>
        <v>58.5</v>
      </c>
      <c r="Q169" s="21">
        <f>Q168*1.5/1000</f>
        <v>61.5</v>
      </c>
      <c r="R169" s="21">
        <f>R168*1.5/1000</f>
        <v>64.5</v>
      </c>
      <c r="S169" s="21">
        <f>S168*1.5/1000</f>
        <v>67.5</v>
      </c>
      <c r="T169" s="156">
        <f t="shared" si="77"/>
        <v>217.279</v>
      </c>
      <c r="U169" s="156">
        <f t="shared" si="78"/>
        <v>304.5</v>
      </c>
      <c r="Y169" s="152"/>
    </row>
    <row r="170" spans="1:25" s="158" customFormat="1" ht="12.75">
      <c r="A170" s="7"/>
      <c r="B170" s="27" t="s">
        <v>91</v>
      </c>
      <c r="C170" s="5" t="s">
        <v>77</v>
      </c>
      <c r="D170" s="49">
        <f>D169*72.507/1000</f>
        <v>1.6702349985</v>
      </c>
      <c r="E170" s="49">
        <f aca="true" t="shared" si="95" ref="E170:S170">E169*72.507/1000</f>
        <v>2.212623612</v>
      </c>
      <c r="F170" s="49">
        <f t="shared" si="95"/>
        <v>2.247717</v>
      </c>
      <c r="G170" s="49">
        <f t="shared" si="95"/>
        <v>3.8066175</v>
      </c>
      <c r="H170" s="49">
        <f t="shared" si="95"/>
        <v>3.6806728410000003</v>
      </c>
      <c r="I170" s="49">
        <f t="shared" si="95"/>
        <v>3.8066175</v>
      </c>
      <c r="J170" s="49">
        <f t="shared" si="95"/>
        <v>3.6062806590000003</v>
      </c>
      <c r="K170" s="49">
        <f t="shared" si="95"/>
        <v>3.8066175</v>
      </c>
      <c r="L170" s="62">
        <f t="shared" si="82"/>
        <v>103.42178358253058</v>
      </c>
      <c r="M170" s="62">
        <f t="shared" si="83"/>
        <v>100</v>
      </c>
      <c r="N170" s="49">
        <f t="shared" si="95"/>
        <v>3.8066175</v>
      </c>
      <c r="O170" s="104">
        <f t="shared" si="95"/>
        <v>7.250700000000001</v>
      </c>
      <c r="P170" s="49">
        <f t="shared" si="95"/>
        <v>4.241659500000001</v>
      </c>
      <c r="Q170" s="49">
        <f t="shared" si="95"/>
        <v>4.4591805</v>
      </c>
      <c r="R170" s="49">
        <f t="shared" si="95"/>
        <v>4.6767015</v>
      </c>
      <c r="S170" s="49">
        <f t="shared" si="95"/>
        <v>4.894222500000001</v>
      </c>
      <c r="T170" s="156">
        <f t="shared" si="77"/>
        <v>15.754248452999999</v>
      </c>
      <c r="U170" s="156">
        <f t="shared" si="78"/>
        <v>22.078381500000003</v>
      </c>
      <c r="Y170" s="152"/>
    </row>
    <row r="171" spans="1:25" s="39" customFormat="1" ht="12.75">
      <c r="A171" s="2" t="s">
        <v>8</v>
      </c>
      <c r="B171" s="30" t="s">
        <v>24</v>
      </c>
      <c r="C171" s="2"/>
      <c r="D171" s="53"/>
      <c r="E171" s="24"/>
      <c r="F171" s="24"/>
      <c r="G171" s="24"/>
      <c r="H171" s="24"/>
      <c r="I171" s="24"/>
      <c r="J171" s="24"/>
      <c r="K171" s="45"/>
      <c r="L171" s="62"/>
      <c r="M171" s="62"/>
      <c r="N171" s="24"/>
      <c r="O171" s="104"/>
      <c r="P171" s="45"/>
      <c r="Q171" s="45"/>
      <c r="R171" s="45"/>
      <c r="S171" s="45"/>
      <c r="T171" s="156">
        <f t="shared" si="77"/>
        <v>0</v>
      </c>
      <c r="U171" s="156">
        <f t="shared" si="78"/>
        <v>0</v>
      </c>
      <c r="Y171" s="152"/>
    </row>
    <row r="172" spans="1:25" s="41" customFormat="1" ht="12.75">
      <c r="A172" s="5"/>
      <c r="B172" s="27" t="s">
        <v>92</v>
      </c>
      <c r="C172" s="5" t="s">
        <v>77</v>
      </c>
      <c r="D172" s="49">
        <f>D182+D184</f>
        <v>2.517359875</v>
      </c>
      <c r="E172" s="21">
        <f aca="true" t="shared" si="96" ref="E172:S172">E182+E184</f>
        <v>2.8800921500000003</v>
      </c>
      <c r="F172" s="21">
        <f t="shared" si="96"/>
        <v>5.330375</v>
      </c>
      <c r="G172" s="21">
        <f t="shared" si="96"/>
        <v>5.251130000000001</v>
      </c>
      <c r="H172" s="21">
        <f t="shared" si="96"/>
        <v>4.8618835</v>
      </c>
      <c r="I172" s="21">
        <f t="shared" si="96"/>
        <v>9.0331625</v>
      </c>
      <c r="J172" s="21">
        <f t="shared" si="96"/>
        <v>1.71407625</v>
      </c>
      <c r="K172" s="21">
        <f t="shared" si="96"/>
        <v>7.756037500000001</v>
      </c>
      <c r="L172" s="62">
        <f t="shared" si="82"/>
        <v>159.5274238882935</v>
      </c>
      <c r="M172" s="62">
        <f t="shared" si="83"/>
        <v>85.86181749747114</v>
      </c>
      <c r="N172" s="21">
        <f>N182+N184</f>
        <v>9.589087500000002</v>
      </c>
      <c r="O172" s="104">
        <f t="shared" si="84"/>
        <v>123.63384653568271</v>
      </c>
      <c r="P172" s="21">
        <f t="shared" si="96"/>
        <v>11.14259</v>
      </c>
      <c r="Q172" s="21">
        <f t="shared" si="96"/>
        <v>11.7848675</v>
      </c>
      <c r="R172" s="21">
        <f t="shared" si="96"/>
        <v>12.590917500000003</v>
      </c>
      <c r="S172" s="21">
        <f t="shared" si="96"/>
        <v>13.536700000000002</v>
      </c>
      <c r="T172" s="156">
        <f t="shared" si="77"/>
        <v>26.079518150000002</v>
      </c>
      <c r="U172" s="156">
        <f t="shared" si="78"/>
        <v>58.64416250000001</v>
      </c>
      <c r="Y172" s="152"/>
    </row>
    <row r="173" spans="1:25" s="41" customFormat="1" ht="12.75">
      <c r="A173" s="5"/>
      <c r="B173" s="27" t="s">
        <v>122</v>
      </c>
      <c r="C173" s="5" t="s">
        <v>77</v>
      </c>
      <c r="D173" s="49">
        <f>D172*30%*9.6%</f>
        <v>0.0724999644</v>
      </c>
      <c r="E173" s="21">
        <f aca="true" t="shared" si="97" ref="E173:S173">E172*30%*9.6%</f>
        <v>0.08294665392</v>
      </c>
      <c r="F173" s="21">
        <f t="shared" si="97"/>
        <v>0.1535148</v>
      </c>
      <c r="G173" s="21">
        <f t="shared" si="97"/>
        <v>0.15123254400000002</v>
      </c>
      <c r="H173" s="21">
        <f t="shared" si="97"/>
        <v>0.1400222448</v>
      </c>
      <c r="I173" s="21">
        <f t="shared" si="97"/>
        <v>0.26015508</v>
      </c>
      <c r="J173" s="21">
        <f t="shared" si="97"/>
        <v>0.049365396</v>
      </c>
      <c r="K173" s="21">
        <f t="shared" si="97"/>
        <v>0.22337388</v>
      </c>
      <c r="L173" s="62">
        <f t="shared" si="82"/>
        <v>159.5274238882935</v>
      </c>
      <c r="M173" s="62">
        <f t="shared" si="83"/>
        <v>85.86181749747112</v>
      </c>
      <c r="N173" s="21">
        <f>N172*30%*9.6%</f>
        <v>0.27616572000000006</v>
      </c>
      <c r="O173" s="104">
        <f t="shared" si="84"/>
        <v>123.63384653568272</v>
      </c>
      <c r="P173" s="21">
        <f t="shared" si="97"/>
        <v>0.320906592</v>
      </c>
      <c r="Q173" s="21">
        <f t="shared" si="97"/>
        <v>0.33940418400000005</v>
      </c>
      <c r="R173" s="21">
        <f t="shared" si="97"/>
        <v>0.36261842400000005</v>
      </c>
      <c r="S173" s="21">
        <f t="shared" si="97"/>
        <v>0.38985696000000003</v>
      </c>
      <c r="T173" s="156">
        <f t="shared" si="77"/>
        <v>0.7510901227200001</v>
      </c>
      <c r="U173" s="156">
        <f t="shared" si="78"/>
        <v>1.68895188</v>
      </c>
      <c r="Y173" s="152"/>
    </row>
    <row r="174" spans="1:25" s="41" customFormat="1" ht="12.75">
      <c r="A174" s="5">
        <v>1</v>
      </c>
      <c r="B174" s="27" t="s">
        <v>33</v>
      </c>
      <c r="C174" s="5" t="s">
        <v>0</v>
      </c>
      <c r="D174" s="49">
        <v>11.5</v>
      </c>
      <c r="E174" s="21">
        <v>15.3</v>
      </c>
      <c r="F174" s="21">
        <v>22</v>
      </c>
      <c r="G174" s="21">
        <v>25</v>
      </c>
      <c r="H174" s="21">
        <v>27</v>
      </c>
      <c r="I174" s="21">
        <v>30</v>
      </c>
      <c r="J174" s="21">
        <v>27.5</v>
      </c>
      <c r="K174" s="21">
        <v>30.5</v>
      </c>
      <c r="L174" s="62">
        <f t="shared" si="82"/>
        <v>112.96296296296295</v>
      </c>
      <c r="M174" s="62">
        <f t="shared" si="83"/>
        <v>101.66666666666666</v>
      </c>
      <c r="N174" s="21">
        <v>31</v>
      </c>
      <c r="O174" s="104">
        <f t="shared" si="84"/>
        <v>101.63934426229508</v>
      </c>
      <c r="P174" s="21">
        <v>31</v>
      </c>
      <c r="Q174" s="21">
        <v>31</v>
      </c>
      <c r="R174" s="21">
        <v>31</v>
      </c>
      <c r="S174" s="21">
        <v>31</v>
      </c>
      <c r="T174" s="156">
        <f t="shared" si="77"/>
        <v>119.8</v>
      </c>
      <c r="U174" s="156">
        <f t="shared" si="78"/>
        <v>155</v>
      </c>
      <c r="Y174" s="152"/>
    </row>
    <row r="175" spans="1:25" s="171" customFormat="1" ht="12.75">
      <c r="A175" s="10"/>
      <c r="B175" s="28" t="s">
        <v>4</v>
      </c>
      <c r="C175" s="10" t="s">
        <v>55</v>
      </c>
      <c r="D175" s="161">
        <v>33.65</v>
      </c>
      <c r="E175" s="19">
        <v>13.1</v>
      </c>
      <c r="F175" s="19">
        <v>14.5</v>
      </c>
      <c r="G175" s="19">
        <v>22</v>
      </c>
      <c r="H175" s="19">
        <v>20.4</v>
      </c>
      <c r="I175" s="19">
        <v>30</v>
      </c>
      <c r="J175" s="19">
        <v>1.5</v>
      </c>
      <c r="K175" s="19">
        <v>35</v>
      </c>
      <c r="L175" s="62">
        <f t="shared" si="82"/>
        <v>171.56862745098042</v>
      </c>
      <c r="M175" s="62">
        <f t="shared" si="83"/>
        <v>116.66666666666667</v>
      </c>
      <c r="N175" s="19">
        <v>35</v>
      </c>
      <c r="O175" s="104">
        <f t="shared" si="84"/>
        <v>100</v>
      </c>
      <c r="P175" s="19">
        <v>38</v>
      </c>
      <c r="Q175" s="19">
        <v>38.5</v>
      </c>
      <c r="R175" s="19">
        <v>38.5</v>
      </c>
      <c r="S175" s="19">
        <v>40</v>
      </c>
      <c r="T175" s="156">
        <f t="shared" si="77"/>
        <v>105</v>
      </c>
      <c r="U175" s="156">
        <f t="shared" si="78"/>
        <v>190</v>
      </c>
      <c r="Y175" s="152"/>
    </row>
    <row r="176" spans="1:25" s="171" customFormat="1" ht="12.75">
      <c r="A176" s="10"/>
      <c r="B176" s="28" t="s">
        <v>67</v>
      </c>
      <c r="C176" s="10" t="s">
        <v>30</v>
      </c>
      <c r="D176" s="161">
        <f>D174*D175/10</f>
        <v>38.6975</v>
      </c>
      <c r="E176" s="19">
        <f aca="true" t="shared" si="98" ref="E176:S176">E174*E175/10</f>
        <v>20.043</v>
      </c>
      <c r="F176" s="19">
        <f t="shared" si="98"/>
        <v>31.9</v>
      </c>
      <c r="G176" s="19">
        <f t="shared" si="98"/>
        <v>55</v>
      </c>
      <c r="H176" s="19">
        <f t="shared" si="98"/>
        <v>55.08</v>
      </c>
      <c r="I176" s="19">
        <f t="shared" si="98"/>
        <v>90</v>
      </c>
      <c r="J176" s="19">
        <f t="shared" si="98"/>
        <v>4.125</v>
      </c>
      <c r="K176" s="19">
        <f t="shared" si="98"/>
        <v>106.75</v>
      </c>
      <c r="L176" s="62">
        <f t="shared" si="82"/>
        <v>193.80900508351488</v>
      </c>
      <c r="M176" s="62">
        <f t="shared" si="83"/>
        <v>118.61111111111111</v>
      </c>
      <c r="N176" s="19">
        <f>N174*N175/10</f>
        <v>108.5</v>
      </c>
      <c r="O176" s="104">
        <f t="shared" si="84"/>
        <v>101.63934426229508</v>
      </c>
      <c r="P176" s="19">
        <f t="shared" si="98"/>
        <v>117.8</v>
      </c>
      <c r="Q176" s="19">
        <f t="shared" si="98"/>
        <v>119.35</v>
      </c>
      <c r="R176" s="19">
        <f t="shared" si="98"/>
        <v>119.35</v>
      </c>
      <c r="S176" s="19">
        <f t="shared" si="98"/>
        <v>124</v>
      </c>
      <c r="T176" s="156">
        <f t="shared" si="77"/>
        <v>268.773</v>
      </c>
      <c r="U176" s="156">
        <f t="shared" si="78"/>
        <v>589</v>
      </c>
      <c r="Y176" s="152"/>
    </row>
    <row r="177" spans="1:25" s="41" customFormat="1" ht="12.75">
      <c r="A177" s="5">
        <v>2</v>
      </c>
      <c r="B177" s="27" t="s">
        <v>69</v>
      </c>
      <c r="C177" s="10" t="s">
        <v>28</v>
      </c>
      <c r="D177" s="49"/>
      <c r="E177" s="21">
        <v>56</v>
      </c>
      <c r="F177" s="21">
        <v>63</v>
      </c>
      <c r="G177" s="21">
        <v>73</v>
      </c>
      <c r="H177" s="21">
        <v>73</v>
      </c>
      <c r="I177" s="21">
        <v>85</v>
      </c>
      <c r="J177" s="21">
        <v>64</v>
      </c>
      <c r="K177" s="21">
        <v>64</v>
      </c>
      <c r="L177" s="62">
        <f t="shared" si="82"/>
        <v>87.67123287671232</v>
      </c>
      <c r="M177" s="62">
        <f t="shared" si="83"/>
        <v>75.29411764705883</v>
      </c>
      <c r="N177" s="21">
        <v>85</v>
      </c>
      <c r="O177" s="104">
        <f t="shared" si="84"/>
        <v>132.8125</v>
      </c>
      <c r="P177" s="21">
        <v>110</v>
      </c>
      <c r="Q177" s="21">
        <v>120</v>
      </c>
      <c r="R177" s="21">
        <v>135</v>
      </c>
      <c r="S177" s="21">
        <v>150</v>
      </c>
      <c r="T177" s="156">
        <f t="shared" si="77"/>
        <v>329</v>
      </c>
      <c r="U177" s="156">
        <f t="shared" si="78"/>
        <v>600</v>
      </c>
      <c r="Y177" s="152"/>
    </row>
    <row r="178" spans="1:25" s="41" customFormat="1" ht="12.75">
      <c r="A178" s="5"/>
      <c r="B178" s="28" t="s">
        <v>4</v>
      </c>
      <c r="C178" s="10" t="s">
        <v>68</v>
      </c>
      <c r="D178" s="49"/>
      <c r="E178" s="21">
        <v>10</v>
      </c>
      <c r="F178" s="21">
        <v>12</v>
      </c>
      <c r="G178" s="21">
        <v>12</v>
      </c>
      <c r="H178" s="21">
        <v>8.3</v>
      </c>
      <c r="I178" s="21">
        <v>14.5</v>
      </c>
      <c r="J178" s="21">
        <v>3.5</v>
      </c>
      <c r="K178" s="21">
        <v>10</v>
      </c>
      <c r="L178" s="62">
        <f t="shared" si="82"/>
        <v>120.48192771084337</v>
      </c>
      <c r="M178" s="62">
        <f t="shared" si="83"/>
        <v>68.96551724137932</v>
      </c>
      <c r="N178" s="21">
        <v>14.5</v>
      </c>
      <c r="O178" s="104">
        <f t="shared" si="84"/>
        <v>145</v>
      </c>
      <c r="P178" s="21">
        <v>14</v>
      </c>
      <c r="Q178" s="21">
        <v>14</v>
      </c>
      <c r="R178" s="21">
        <v>14</v>
      </c>
      <c r="S178" s="21">
        <v>14</v>
      </c>
      <c r="T178" s="156">
        <f t="shared" si="77"/>
        <v>52.3</v>
      </c>
      <c r="U178" s="156">
        <f t="shared" si="78"/>
        <v>70.5</v>
      </c>
      <c r="Y178" s="152"/>
    </row>
    <row r="179" spans="1:25" s="41" customFormat="1" ht="12.75">
      <c r="A179" s="5"/>
      <c r="B179" s="28" t="s">
        <v>67</v>
      </c>
      <c r="C179" s="10" t="s">
        <v>30</v>
      </c>
      <c r="D179" s="49">
        <f aca="true" t="shared" si="99" ref="D179:S179">D177*D178/10</f>
        <v>0</v>
      </c>
      <c r="E179" s="21">
        <f t="shared" si="99"/>
        <v>56</v>
      </c>
      <c r="F179" s="21">
        <f t="shared" si="99"/>
        <v>75.6</v>
      </c>
      <c r="G179" s="21">
        <f t="shared" si="99"/>
        <v>87.6</v>
      </c>
      <c r="H179" s="21">
        <f t="shared" si="99"/>
        <v>60.59000000000001</v>
      </c>
      <c r="I179" s="21">
        <f t="shared" si="99"/>
        <v>123.25</v>
      </c>
      <c r="J179" s="21">
        <f t="shared" si="99"/>
        <v>22.4</v>
      </c>
      <c r="K179" s="21">
        <f t="shared" si="99"/>
        <v>64</v>
      </c>
      <c r="L179" s="62">
        <f t="shared" si="82"/>
        <v>105.62799141772568</v>
      </c>
      <c r="M179" s="62">
        <f t="shared" si="83"/>
        <v>51.926977687626774</v>
      </c>
      <c r="N179" s="21">
        <f>N177*N178/10</f>
        <v>123.25</v>
      </c>
      <c r="O179" s="104">
        <f t="shared" si="84"/>
        <v>192.578125</v>
      </c>
      <c r="P179" s="21">
        <f t="shared" si="99"/>
        <v>154</v>
      </c>
      <c r="Q179" s="21">
        <f t="shared" si="99"/>
        <v>168</v>
      </c>
      <c r="R179" s="21">
        <f t="shared" si="99"/>
        <v>189</v>
      </c>
      <c r="S179" s="21">
        <f t="shared" si="99"/>
        <v>210</v>
      </c>
      <c r="T179" s="156">
        <f t="shared" si="77"/>
        <v>343.79</v>
      </c>
      <c r="U179" s="156">
        <f t="shared" si="78"/>
        <v>844.25</v>
      </c>
      <c r="Y179" s="152"/>
    </row>
    <row r="180" spans="1:25" s="179" customFormat="1" ht="12.75">
      <c r="A180" s="1">
        <v>3</v>
      </c>
      <c r="B180" s="18" t="s">
        <v>29</v>
      </c>
      <c r="C180" s="1" t="s">
        <v>30</v>
      </c>
      <c r="D180" s="176">
        <f>D181+D183</f>
        <v>77.39750000000001</v>
      </c>
      <c r="E180" s="35">
        <f aca="true" t="shared" si="100" ref="E180:S180">E181+E183</f>
        <v>93.043</v>
      </c>
      <c r="F180" s="35">
        <f t="shared" si="100"/>
        <v>167.5</v>
      </c>
      <c r="G180" s="35">
        <f t="shared" si="100"/>
        <v>170.2</v>
      </c>
      <c r="H180" s="35">
        <f t="shared" si="100"/>
        <v>155.27</v>
      </c>
      <c r="I180" s="35">
        <f t="shared" si="100"/>
        <v>288.25</v>
      </c>
      <c r="J180" s="35">
        <f t="shared" si="100"/>
        <v>52.724999999999994</v>
      </c>
      <c r="K180" s="35">
        <f t="shared" si="100"/>
        <v>245.75</v>
      </c>
      <c r="L180" s="62">
        <f t="shared" si="82"/>
        <v>158.27268628840082</v>
      </c>
      <c r="M180" s="62">
        <f t="shared" si="83"/>
        <v>85.2558542931483</v>
      </c>
      <c r="N180" s="35">
        <f>N181+N183</f>
        <v>306.75</v>
      </c>
      <c r="O180" s="194">
        <f t="shared" si="84"/>
        <v>124.82197355035605</v>
      </c>
      <c r="P180" s="35">
        <f t="shared" si="100"/>
        <v>356.8</v>
      </c>
      <c r="Q180" s="35">
        <f t="shared" si="100"/>
        <v>377.35</v>
      </c>
      <c r="R180" s="35">
        <f t="shared" si="100"/>
        <v>403.35</v>
      </c>
      <c r="S180" s="35">
        <f t="shared" si="100"/>
        <v>434</v>
      </c>
      <c r="T180" s="156">
        <f t="shared" si="77"/>
        <v>831.763</v>
      </c>
      <c r="U180" s="156">
        <f t="shared" si="78"/>
        <v>1878.25</v>
      </c>
      <c r="Y180" s="152"/>
    </row>
    <row r="181" spans="1:25" s="166" customFormat="1" ht="12.75">
      <c r="A181" s="33" t="s">
        <v>3</v>
      </c>
      <c r="B181" s="13" t="s">
        <v>32</v>
      </c>
      <c r="C181" s="33" t="s">
        <v>30</v>
      </c>
      <c r="D181" s="163">
        <f>D176+D179</f>
        <v>38.6975</v>
      </c>
      <c r="E181" s="34">
        <f aca="true" t="shared" si="101" ref="E181:S181">E176+E179</f>
        <v>76.043</v>
      </c>
      <c r="F181" s="34">
        <f t="shared" si="101"/>
        <v>107.5</v>
      </c>
      <c r="G181" s="34">
        <f t="shared" si="101"/>
        <v>142.6</v>
      </c>
      <c r="H181" s="34">
        <f t="shared" si="101"/>
        <v>115.67000000000002</v>
      </c>
      <c r="I181" s="34">
        <f t="shared" si="101"/>
        <v>213.25</v>
      </c>
      <c r="J181" s="34">
        <f t="shared" si="101"/>
        <v>26.525</v>
      </c>
      <c r="K181" s="34">
        <f t="shared" si="101"/>
        <v>170.75</v>
      </c>
      <c r="L181" s="62">
        <f t="shared" si="82"/>
        <v>147.61822425866688</v>
      </c>
      <c r="M181" s="62">
        <f t="shared" si="83"/>
        <v>80.07033997655334</v>
      </c>
      <c r="N181" s="34">
        <f>N176+N179</f>
        <v>231.75</v>
      </c>
      <c r="O181" s="104">
        <f t="shared" si="84"/>
        <v>135.7247437774524</v>
      </c>
      <c r="P181" s="34">
        <f t="shared" si="101"/>
        <v>271.8</v>
      </c>
      <c r="Q181" s="34">
        <f t="shared" si="101"/>
        <v>287.35</v>
      </c>
      <c r="R181" s="34">
        <f t="shared" si="101"/>
        <v>308.35</v>
      </c>
      <c r="S181" s="34">
        <f t="shared" si="101"/>
        <v>334</v>
      </c>
      <c r="T181" s="156">
        <f t="shared" si="77"/>
        <v>612.5630000000001</v>
      </c>
      <c r="U181" s="156">
        <f t="shared" si="78"/>
        <v>1433.25</v>
      </c>
      <c r="Y181" s="152"/>
    </row>
    <row r="182" spans="1:25" s="166" customFormat="1" ht="12.75">
      <c r="A182" s="33"/>
      <c r="B182" s="13" t="s">
        <v>112</v>
      </c>
      <c r="C182" s="33" t="s">
        <v>77</v>
      </c>
      <c r="D182" s="163">
        <f>D181*30.05/1000</f>
        <v>1.1628598749999999</v>
      </c>
      <c r="E182" s="163">
        <f aca="true" t="shared" si="102" ref="E182:S182">E181*30.05/1000</f>
        <v>2.2850921500000005</v>
      </c>
      <c r="F182" s="163">
        <f t="shared" si="102"/>
        <v>3.230375</v>
      </c>
      <c r="G182" s="163">
        <f t="shared" si="102"/>
        <v>4.2851300000000005</v>
      </c>
      <c r="H182" s="163">
        <f t="shared" si="102"/>
        <v>3.4758835000000006</v>
      </c>
      <c r="I182" s="163">
        <f t="shared" si="102"/>
        <v>6.4081625</v>
      </c>
      <c r="J182" s="163">
        <f t="shared" si="102"/>
        <v>0.7970762499999999</v>
      </c>
      <c r="K182" s="163">
        <f t="shared" si="102"/>
        <v>5.131037500000001</v>
      </c>
      <c r="L182" s="62">
        <f t="shared" si="82"/>
        <v>147.61822425866688</v>
      </c>
      <c r="M182" s="62">
        <f t="shared" si="83"/>
        <v>80.07033997655334</v>
      </c>
      <c r="N182" s="163">
        <f t="shared" si="102"/>
        <v>6.964087500000001</v>
      </c>
      <c r="O182" s="195">
        <f t="shared" si="102"/>
        <v>4.078528550512445</v>
      </c>
      <c r="P182" s="163">
        <f t="shared" si="102"/>
        <v>8.16759</v>
      </c>
      <c r="Q182" s="163">
        <f t="shared" si="102"/>
        <v>8.6348675</v>
      </c>
      <c r="R182" s="163">
        <f t="shared" si="102"/>
        <v>9.265917500000002</v>
      </c>
      <c r="S182" s="163">
        <f t="shared" si="102"/>
        <v>10.036700000000002</v>
      </c>
      <c r="T182" s="156">
        <f t="shared" si="77"/>
        <v>18.40751815</v>
      </c>
      <c r="U182" s="156">
        <f t="shared" si="78"/>
        <v>43.069162500000004</v>
      </c>
      <c r="Y182" s="152"/>
    </row>
    <row r="183" spans="1:25" s="158" customFormat="1" ht="12.75">
      <c r="A183" s="5" t="s">
        <v>3</v>
      </c>
      <c r="B183" s="27" t="s">
        <v>31</v>
      </c>
      <c r="C183" s="5" t="s">
        <v>30</v>
      </c>
      <c r="D183" s="49">
        <v>38.7</v>
      </c>
      <c r="E183" s="21">
        <v>17</v>
      </c>
      <c r="F183" s="21">
        <v>60</v>
      </c>
      <c r="G183" s="21">
        <v>27.6</v>
      </c>
      <c r="H183" s="21">
        <v>39.6</v>
      </c>
      <c r="I183" s="21">
        <v>75</v>
      </c>
      <c r="J183" s="21">
        <v>26.2</v>
      </c>
      <c r="K183" s="21">
        <v>75</v>
      </c>
      <c r="L183" s="62">
        <f t="shared" si="82"/>
        <v>189.39393939393938</v>
      </c>
      <c r="M183" s="62">
        <f t="shared" si="83"/>
        <v>100</v>
      </c>
      <c r="N183" s="21">
        <v>75</v>
      </c>
      <c r="O183" s="104">
        <f t="shared" si="84"/>
        <v>100</v>
      </c>
      <c r="P183" s="21">
        <v>85</v>
      </c>
      <c r="Q183" s="21">
        <v>90</v>
      </c>
      <c r="R183" s="21">
        <v>95</v>
      </c>
      <c r="S183" s="21">
        <v>100</v>
      </c>
      <c r="T183" s="156">
        <f t="shared" si="77"/>
        <v>219.2</v>
      </c>
      <c r="U183" s="156">
        <f t="shared" si="78"/>
        <v>445</v>
      </c>
      <c r="Y183" s="152"/>
    </row>
    <row r="184" spans="1:25" s="180" customFormat="1" ht="12.75">
      <c r="A184" s="14"/>
      <c r="B184" s="13" t="s">
        <v>113</v>
      </c>
      <c r="C184" s="33" t="s">
        <v>77</v>
      </c>
      <c r="D184" s="54">
        <f aca="true" t="shared" si="103" ref="D184:S184">D183*35/1000</f>
        <v>1.3545</v>
      </c>
      <c r="E184" s="52">
        <f t="shared" si="103"/>
        <v>0.595</v>
      </c>
      <c r="F184" s="52">
        <f t="shared" si="103"/>
        <v>2.1</v>
      </c>
      <c r="G184" s="52">
        <f t="shared" si="103"/>
        <v>0.966</v>
      </c>
      <c r="H184" s="52">
        <f t="shared" si="103"/>
        <v>1.386</v>
      </c>
      <c r="I184" s="52">
        <f t="shared" si="103"/>
        <v>2.625</v>
      </c>
      <c r="J184" s="52">
        <f t="shared" si="103"/>
        <v>0.917</v>
      </c>
      <c r="K184" s="52">
        <f t="shared" si="103"/>
        <v>2.625</v>
      </c>
      <c r="L184" s="62">
        <f t="shared" si="82"/>
        <v>189.3939393939394</v>
      </c>
      <c r="M184" s="62">
        <f t="shared" si="83"/>
        <v>100</v>
      </c>
      <c r="N184" s="52">
        <f t="shared" si="103"/>
        <v>2.625</v>
      </c>
      <c r="O184" s="104">
        <f t="shared" si="84"/>
        <v>100</v>
      </c>
      <c r="P184" s="52">
        <f t="shared" si="103"/>
        <v>2.975</v>
      </c>
      <c r="Q184" s="52">
        <f t="shared" si="103"/>
        <v>3.15</v>
      </c>
      <c r="R184" s="52">
        <f t="shared" si="103"/>
        <v>3.325</v>
      </c>
      <c r="S184" s="52">
        <f t="shared" si="103"/>
        <v>3.5</v>
      </c>
      <c r="T184" s="156">
        <f t="shared" si="77"/>
        <v>7.672000000000001</v>
      </c>
      <c r="U184" s="156">
        <f t="shared" si="78"/>
        <v>15.575</v>
      </c>
      <c r="Y184" s="152"/>
    </row>
  </sheetData>
  <sheetProtection/>
  <mergeCells count="20">
    <mergeCell ref="A3:U3"/>
    <mergeCell ref="N4:N5"/>
    <mergeCell ref="O4:O5"/>
    <mergeCell ref="A2:U2"/>
    <mergeCell ref="T4:T5"/>
    <mergeCell ref="U4:U5"/>
    <mergeCell ref="A4:A5"/>
    <mergeCell ref="B4:B5"/>
    <mergeCell ref="I4:M4"/>
    <mergeCell ref="C4:C5"/>
    <mergeCell ref="A1:O1"/>
    <mergeCell ref="Q4:Q5"/>
    <mergeCell ref="R4:R5"/>
    <mergeCell ref="S4:S5"/>
    <mergeCell ref="D4:D5"/>
    <mergeCell ref="E4:E5"/>
    <mergeCell ref="F4:F5"/>
    <mergeCell ref="G4:G5"/>
    <mergeCell ref="H4:H5"/>
    <mergeCell ref="P4:P5"/>
  </mergeCells>
  <printOptions/>
  <pageMargins left="0.1968503937007874" right="0.1968503937007874" top="0.46" bottom="0.1968503937007874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2"/>
  <sheetViews>
    <sheetView tabSelected="1" zoomScale="130" zoomScaleNormal="130" zoomScalePageLayoutView="0" workbookViewId="0" topLeftCell="A1">
      <pane ySplit="5" topLeftCell="A84" activePane="bottomLeft" state="frozen"/>
      <selection pane="topLeft" activeCell="A1" sqref="A1"/>
      <selection pane="bottomLeft" activeCell="X87" sqref="X87"/>
    </sheetView>
  </sheetViews>
  <sheetFormatPr defaultColWidth="9.140625" defaultRowHeight="12.75"/>
  <cols>
    <col min="1" max="1" width="4.00390625" style="141" bestFit="1" customWidth="1"/>
    <col min="2" max="2" width="26.57421875" style="181" bestFit="1" customWidth="1"/>
    <col min="3" max="3" width="6.28125" style="182" customWidth="1"/>
    <col min="4" max="4" width="8.140625" style="183" hidden="1" customWidth="1"/>
    <col min="5" max="7" width="8.140625" style="43" hidden="1" customWidth="1"/>
    <col min="8" max="10" width="8.140625" style="43" customWidth="1"/>
    <col min="11" max="11" width="9.28125" style="38" bestFit="1" customWidth="1"/>
    <col min="12" max="12" width="9.28125" style="38" customWidth="1"/>
    <col min="13" max="13" width="7.28125" style="38" customWidth="1"/>
    <col min="14" max="14" width="8.8515625" style="38" customWidth="1"/>
    <col min="15" max="15" width="8.00390625" style="63" customWidth="1"/>
    <col min="16" max="18" width="9.28125" style="38" hidden="1" customWidth="1"/>
    <col min="19" max="19" width="9.140625" style="38" hidden="1" customWidth="1"/>
    <col min="20" max="21" width="9.140625" style="140" hidden="1" customWidth="1"/>
    <col min="22" max="22" width="9.140625" style="141" hidden="1" customWidth="1"/>
    <col min="23" max="24" width="9.140625" style="141" customWidth="1"/>
    <col min="25" max="16384" width="9.140625" style="141" customWidth="1"/>
  </cols>
  <sheetData>
    <row r="1" spans="1:15" ht="13.5">
      <c r="A1" s="138" t="s">
        <v>268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21" ht="26.25" customHeight="1">
      <c r="A2" s="142" t="s">
        <v>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2.75">
      <c r="A3" s="143" t="s">
        <v>267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2.75" customHeight="1">
      <c r="A4" s="122" t="s">
        <v>71</v>
      </c>
      <c r="B4" s="122" t="s">
        <v>65</v>
      </c>
      <c r="C4" s="125" t="s">
        <v>50</v>
      </c>
      <c r="D4" s="144" t="s">
        <v>136</v>
      </c>
      <c r="E4" s="144" t="s">
        <v>137</v>
      </c>
      <c r="F4" s="144" t="s">
        <v>138</v>
      </c>
      <c r="G4" s="144" t="s">
        <v>139</v>
      </c>
      <c r="H4" s="144" t="s">
        <v>130</v>
      </c>
      <c r="I4" s="145" t="s">
        <v>131</v>
      </c>
      <c r="J4" s="146"/>
      <c r="K4" s="146"/>
      <c r="L4" s="146"/>
      <c r="M4" s="147"/>
      <c r="N4" s="120" t="s">
        <v>127</v>
      </c>
      <c r="O4" s="148" t="s">
        <v>133</v>
      </c>
      <c r="P4" s="124" t="s">
        <v>140</v>
      </c>
      <c r="Q4" s="124" t="s">
        <v>141</v>
      </c>
      <c r="R4" s="124" t="s">
        <v>142</v>
      </c>
      <c r="S4" s="124" t="s">
        <v>143</v>
      </c>
      <c r="T4" s="144" t="s">
        <v>123</v>
      </c>
      <c r="U4" s="144" t="s">
        <v>124</v>
      </c>
    </row>
    <row r="5" spans="1:21" s="150" customFormat="1" ht="52.5" customHeight="1">
      <c r="A5" s="122"/>
      <c r="B5" s="122"/>
      <c r="C5" s="125"/>
      <c r="D5" s="144"/>
      <c r="E5" s="144"/>
      <c r="F5" s="144"/>
      <c r="G5" s="144"/>
      <c r="H5" s="144"/>
      <c r="I5" s="108" t="s">
        <v>129</v>
      </c>
      <c r="J5" s="109" t="s">
        <v>273</v>
      </c>
      <c r="K5" s="108" t="s">
        <v>126</v>
      </c>
      <c r="L5" s="109" t="s">
        <v>134</v>
      </c>
      <c r="M5" s="109" t="s">
        <v>135</v>
      </c>
      <c r="N5" s="121"/>
      <c r="O5" s="149"/>
      <c r="P5" s="119"/>
      <c r="Q5" s="119"/>
      <c r="R5" s="119"/>
      <c r="S5" s="119"/>
      <c r="T5" s="144"/>
      <c r="U5" s="144"/>
    </row>
    <row r="6" spans="1:21" s="65" customFormat="1" ht="30" customHeight="1">
      <c r="A6" s="24"/>
      <c r="B6" s="60" t="s">
        <v>144</v>
      </c>
      <c r="C6" s="22" t="s">
        <v>77</v>
      </c>
      <c r="D6" s="55">
        <f aca="true" t="shared" si="0" ref="D6:S7">D9+D139+D150+D170</f>
        <v>322.10856759999996</v>
      </c>
      <c r="E6" s="55">
        <f t="shared" si="0"/>
        <v>340.92687316000007</v>
      </c>
      <c r="F6" s="55">
        <f t="shared" si="0"/>
        <v>383.7606032</v>
      </c>
      <c r="G6" s="55">
        <f t="shared" si="0"/>
        <v>582.6070597100799</v>
      </c>
      <c r="H6" s="61">
        <f t="shared" si="0"/>
        <v>858.2392492452501</v>
      </c>
      <c r="I6" s="61">
        <f>I9+I139+I150+I170</f>
        <v>882.556164032</v>
      </c>
      <c r="J6" s="61">
        <f>J9+J139+J150+J170</f>
        <v>326.6464089999999</v>
      </c>
      <c r="K6" s="110">
        <f>K9+K139+K150+K170</f>
        <v>869.2807804999999</v>
      </c>
      <c r="L6" s="61">
        <f>K6/H6*100</f>
        <v>101.28653301098265</v>
      </c>
      <c r="M6" s="61">
        <f>K6/I6*100</f>
        <v>98.49580297854916</v>
      </c>
      <c r="N6" s="61">
        <f>N9+N139+N150+N170</f>
        <v>1163.0745660999996</v>
      </c>
      <c r="O6" s="151">
        <f aca="true" t="shared" si="1" ref="O6:O69">N6/K6*100</f>
        <v>133.79734053604787</v>
      </c>
      <c r="P6" s="55">
        <f t="shared" si="0"/>
        <v>1408.5806142</v>
      </c>
      <c r="Q6" s="55">
        <f t="shared" si="0"/>
        <v>1438.2511441999995</v>
      </c>
      <c r="R6" s="55">
        <f t="shared" si="0"/>
        <v>1476.1239242</v>
      </c>
      <c r="S6" s="55">
        <f t="shared" si="0"/>
        <v>1506.8727542</v>
      </c>
      <c r="T6" s="20">
        <f>SUM(E6:H6)+K6</f>
        <v>3034.81456581533</v>
      </c>
      <c r="U6" s="20">
        <f>N6+SUM(P6:S6)</f>
        <v>6992.903002899999</v>
      </c>
    </row>
    <row r="7" spans="1:21" s="65" customFormat="1" ht="12.75">
      <c r="A7" s="24"/>
      <c r="B7" s="48" t="s">
        <v>118</v>
      </c>
      <c r="C7" s="22" t="s">
        <v>77</v>
      </c>
      <c r="D7" s="55">
        <f t="shared" si="0"/>
        <v>261.033560216</v>
      </c>
      <c r="E7" s="55">
        <f t="shared" si="0"/>
        <v>288.505430736</v>
      </c>
      <c r="F7" s="55">
        <f t="shared" si="0"/>
        <v>344.08789808</v>
      </c>
      <c r="G7" s="55">
        <f t="shared" si="0"/>
        <v>413.9108016</v>
      </c>
      <c r="H7" s="55">
        <f t="shared" si="0"/>
        <v>480.56158169599996</v>
      </c>
      <c r="I7" s="55">
        <f t="shared" si="0"/>
        <v>629.2384558399998</v>
      </c>
      <c r="J7" s="55">
        <f>J10+J140+J151+J171</f>
        <v>498.714223504</v>
      </c>
      <c r="K7" s="55">
        <f t="shared" si="0"/>
        <v>501.24096288000004</v>
      </c>
      <c r="L7" s="61">
        <f aca="true" t="shared" si="2" ref="L7:L70">K7/H7*100</f>
        <v>104.3031698686812</v>
      </c>
      <c r="M7" s="61">
        <f aca="true" t="shared" si="3" ref="M7:M70">K7/I7*100</f>
        <v>79.65834863205716</v>
      </c>
      <c r="N7" s="55">
        <f>N10+N140+N151+N171</f>
        <v>634.486670584</v>
      </c>
      <c r="O7" s="151">
        <f t="shared" si="1"/>
        <v>126.58316410103532</v>
      </c>
      <c r="P7" s="55">
        <f t="shared" si="0"/>
        <v>749.0496408</v>
      </c>
      <c r="Q7" s="55">
        <f t="shared" si="0"/>
        <v>749.8607136000002</v>
      </c>
      <c r="R7" s="55">
        <f t="shared" si="0"/>
        <v>750.9173424</v>
      </c>
      <c r="S7" s="55">
        <f t="shared" si="0"/>
        <v>751.7342414400001</v>
      </c>
      <c r="T7" s="20">
        <f aca="true" t="shared" si="4" ref="T7:T70">SUM(E7:H7)+K7</f>
        <v>2028.306674992</v>
      </c>
      <c r="U7" s="20">
        <f aca="true" t="shared" si="5" ref="U7:U70">N7+SUM(P7:S7)</f>
        <v>3636.048608824</v>
      </c>
    </row>
    <row r="8" spans="1:21" s="152" customFormat="1" ht="12.75">
      <c r="A8" s="50" t="s">
        <v>1</v>
      </c>
      <c r="B8" s="51" t="s">
        <v>106</v>
      </c>
      <c r="C8" s="50" t="s">
        <v>0</v>
      </c>
      <c r="D8" s="53">
        <f aca="true" t="shared" si="6" ref="D8:R8">D11+D58+D133+D138</f>
        <v>26868.449999999997</v>
      </c>
      <c r="E8" s="20">
        <f t="shared" si="6"/>
        <v>27002.96</v>
      </c>
      <c r="F8" s="20">
        <f t="shared" si="6"/>
        <v>27417.42</v>
      </c>
      <c r="G8" s="20">
        <f t="shared" si="6"/>
        <v>27831.889999999996</v>
      </c>
      <c r="H8" s="20">
        <f>H11+H58+H133+H138</f>
        <v>27548.040000000005</v>
      </c>
      <c r="I8" s="20">
        <f t="shared" si="6"/>
        <v>28679.5</v>
      </c>
      <c r="J8" s="20">
        <f>J11+J58+J133+J138</f>
        <v>26976.300000000003</v>
      </c>
      <c r="K8" s="20">
        <f t="shared" si="6"/>
        <v>27551.63</v>
      </c>
      <c r="L8" s="61">
        <f t="shared" si="2"/>
        <v>100.01303178011938</v>
      </c>
      <c r="M8" s="61">
        <f t="shared" si="3"/>
        <v>96.06733032305306</v>
      </c>
      <c r="N8" s="20">
        <f>N11+N58+N133+N138</f>
        <v>28746.83</v>
      </c>
      <c r="O8" s="151">
        <f t="shared" si="1"/>
        <v>104.33803735024026</v>
      </c>
      <c r="P8" s="20">
        <f t="shared" si="6"/>
        <v>29122.030000000002</v>
      </c>
      <c r="Q8" s="20">
        <f t="shared" si="6"/>
        <v>29689.030000000002</v>
      </c>
      <c r="R8" s="20">
        <f t="shared" si="6"/>
        <v>30245.930000000004</v>
      </c>
      <c r="S8" s="20">
        <f>S11+S58+S133+S138</f>
        <v>30892.190000000002</v>
      </c>
      <c r="T8" s="20">
        <f t="shared" si="4"/>
        <v>137351.94</v>
      </c>
      <c r="U8" s="20">
        <f t="shared" si="5"/>
        <v>148696.01</v>
      </c>
    </row>
    <row r="9" spans="1:25" s="153" customFormat="1" ht="12.75">
      <c r="A9" s="22"/>
      <c r="B9" s="48" t="s">
        <v>110</v>
      </c>
      <c r="C9" s="22" t="s">
        <v>77</v>
      </c>
      <c r="D9" s="53">
        <f aca="true" t="shared" si="7" ref="D9:S10">D12+D59+D136</f>
        <v>308.8354601</v>
      </c>
      <c r="E9" s="24">
        <f t="shared" si="7"/>
        <v>326.00342816000006</v>
      </c>
      <c r="F9" s="24">
        <f t="shared" si="7"/>
        <v>362.4681032</v>
      </c>
      <c r="G9" s="24">
        <f t="shared" si="7"/>
        <v>536.2650597100799</v>
      </c>
      <c r="H9" s="24">
        <f t="shared" si="7"/>
        <v>821.4121292452501</v>
      </c>
      <c r="I9" s="24">
        <f t="shared" si="7"/>
        <v>820.548414032</v>
      </c>
      <c r="J9" s="24">
        <f>J12+J59+J136</f>
        <v>310.7627039999999</v>
      </c>
      <c r="K9" s="24">
        <f t="shared" si="7"/>
        <v>830.8480304999998</v>
      </c>
      <c r="L9" s="61">
        <f t="shared" si="2"/>
        <v>101.14874140748564</v>
      </c>
      <c r="M9" s="61">
        <f t="shared" si="3"/>
        <v>101.25521130647121</v>
      </c>
      <c r="N9" s="24">
        <f>N12+N59+N136</f>
        <v>1101.3376985999998</v>
      </c>
      <c r="O9" s="151">
        <f t="shared" si="1"/>
        <v>132.55585355810746</v>
      </c>
      <c r="P9" s="24">
        <f t="shared" si="7"/>
        <v>1325.6286142</v>
      </c>
      <c r="Q9" s="24">
        <f t="shared" si="7"/>
        <v>1348.8698941999996</v>
      </c>
      <c r="R9" s="24">
        <f t="shared" si="7"/>
        <v>1376.6426741999999</v>
      </c>
      <c r="S9" s="24">
        <f t="shared" si="7"/>
        <v>1397.2039541999998</v>
      </c>
      <c r="T9" s="20">
        <f t="shared" si="4"/>
        <v>2876.9967508153295</v>
      </c>
      <c r="U9" s="20">
        <f t="shared" si="5"/>
        <v>6549.682835399999</v>
      </c>
      <c r="Y9" s="152"/>
    </row>
    <row r="10" spans="1:25" s="153" customFormat="1" ht="12.75">
      <c r="A10" s="22"/>
      <c r="B10" s="48" t="s">
        <v>119</v>
      </c>
      <c r="C10" s="22"/>
      <c r="D10" s="53">
        <f t="shared" si="7"/>
        <v>260.65129472</v>
      </c>
      <c r="E10" s="24">
        <f t="shared" si="7"/>
        <v>288.07563552</v>
      </c>
      <c r="F10" s="24">
        <f t="shared" si="7"/>
        <v>343.47467408</v>
      </c>
      <c r="G10" s="24">
        <f t="shared" si="7"/>
        <v>412.576152</v>
      </c>
      <c r="H10" s="24">
        <f t="shared" si="7"/>
        <v>479.50096063999996</v>
      </c>
      <c r="I10" s="24">
        <f>I13+I60+I137</f>
        <v>627.6144598399998</v>
      </c>
      <c r="J10" s="24">
        <f>J13+J60+J137</f>
        <v>498.2855728</v>
      </c>
      <c r="K10" s="24">
        <f t="shared" si="7"/>
        <v>500.13409968</v>
      </c>
      <c r="L10" s="61">
        <f t="shared" si="2"/>
        <v>104.30304435938157</v>
      </c>
      <c r="M10" s="61">
        <f t="shared" si="3"/>
        <v>79.6881097684558</v>
      </c>
      <c r="N10" s="24">
        <f>N13+N60+N137</f>
        <v>632.8704759999999</v>
      </c>
      <c r="O10" s="151">
        <f t="shared" si="1"/>
        <v>126.54015721082175</v>
      </c>
      <c r="P10" s="24">
        <f t="shared" si="7"/>
        <v>746.6606232000001</v>
      </c>
      <c r="Q10" s="24">
        <f t="shared" si="7"/>
        <v>747.2865336000002</v>
      </c>
      <c r="R10" s="24">
        <f t="shared" si="7"/>
        <v>748.0522824000001</v>
      </c>
      <c r="S10" s="24">
        <f t="shared" si="7"/>
        <v>748.5757800000001</v>
      </c>
      <c r="T10" s="20">
        <f t="shared" si="4"/>
        <v>2023.7615219199997</v>
      </c>
      <c r="U10" s="20">
        <f t="shared" si="5"/>
        <v>3623.4456952000005</v>
      </c>
      <c r="Y10" s="152"/>
    </row>
    <row r="11" spans="1:25" s="39" customFormat="1" ht="12.75">
      <c r="A11" s="2">
        <v>1</v>
      </c>
      <c r="B11" s="23" t="s">
        <v>45</v>
      </c>
      <c r="C11" s="2" t="s">
        <v>0</v>
      </c>
      <c r="D11" s="53">
        <f>D14+D32+D41+D51</f>
        <v>2121.85</v>
      </c>
      <c r="E11" s="24">
        <f aca="true" t="shared" si="8" ref="E11:R11">E14+E32+E41+E51</f>
        <v>1936.23</v>
      </c>
      <c r="F11" s="24">
        <f t="shared" si="8"/>
        <v>1854.2199999999998</v>
      </c>
      <c r="G11" s="24">
        <f t="shared" si="8"/>
        <v>2146.35</v>
      </c>
      <c r="H11" s="24">
        <f t="shared" si="8"/>
        <v>1772.8</v>
      </c>
      <c r="I11" s="24">
        <f>I14+I32+I41+I51</f>
        <v>2624.3</v>
      </c>
      <c r="J11" s="24">
        <f>J14+J32+J41+J51</f>
        <v>1187.5</v>
      </c>
      <c r="K11" s="24">
        <f>K14+K32+K41+K51</f>
        <v>1644.6</v>
      </c>
      <c r="L11" s="61">
        <f t="shared" si="2"/>
        <v>92.76850180505414</v>
      </c>
      <c r="M11" s="61">
        <f t="shared" si="3"/>
        <v>62.66814007544868</v>
      </c>
      <c r="N11" s="24">
        <f>N14+N32+N41+N51</f>
        <v>2653.8</v>
      </c>
      <c r="O11" s="151">
        <f t="shared" si="1"/>
        <v>161.36446552353158</v>
      </c>
      <c r="P11" s="24">
        <f t="shared" si="8"/>
        <v>2140.8</v>
      </c>
      <c r="Q11" s="24">
        <f t="shared" si="8"/>
        <v>2156.8</v>
      </c>
      <c r="R11" s="24">
        <f t="shared" si="8"/>
        <v>2161.8</v>
      </c>
      <c r="S11" s="24">
        <f>S14+S32+S41+S51</f>
        <v>2173.8</v>
      </c>
      <c r="T11" s="20">
        <f t="shared" si="4"/>
        <v>9354.199999999999</v>
      </c>
      <c r="U11" s="20">
        <f t="shared" si="5"/>
        <v>11287</v>
      </c>
      <c r="Y11" s="152"/>
    </row>
    <row r="12" spans="1:25" s="39" customFormat="1" ht="12.75">
      <c r="A12" s="2"/>
      <c r="B12" s="23" t="s">
        <v>99</v>
      </c>
      <c r="C12" s="2" t="s">
        <v>0</v>
      </c>
      <c r="D12" s="53">
        <f>D16+D33</f>
        <v>30.289286999999998</v>
      </c>
      <c r="E12" s="24">
        <f>E16+E33</f>
        <v>27.080999999999996</v>
      </c>
      <c r="F12" s="24">
        <f aca="true" t="shared" si="9" ref="F12:S12">F16+F33</f>
        <v>29.906573</v>
      </c>
      <c r="G12" s="24">
        <f t="shared" si="9"/>
        <v>37.976427</v>
      </c>
      <c r="H12" s="24">
        <f t="shared" si="9"/>
        <v>33.72913</v>
      </c>
      <c r="I12" s="24">
        <f t="shared" si="9"/>
        <v>47.5269186</v>
      </c>
      <c r="J12" s="24">
        <f>J16+J33</f>
        <v>0.688884</v>
      </c>
      <c r="K12" s="24">
        <f t="shared" si="9"/>
        <v>30.554859999999998</v>
      </c>
      <c r="L12" s="61">
        <f t="shared" si="2"/>
        <v>90.58893603244435</v>
      </c>
      <c r="M12" s="61">
        <f t="shared" si="3"/>
        <v>64.28958766958647</v>
      </c>
      <c r="N12" s="24">
        <f>N16+N33</f>
        <v>50.2729186</v>
      </c>
      <c r="O12" s="151">
        <f t="shared" si="1"/>
        <v>164.5332971579644</v>
      </c>
      <c r="P12" s="24">
        <f t="shared" si="9"/>
        <v>49.051559999999995</v>
      </c>
      <c r="Q12" s="24">
        <f t="shared" si="9"/>
        <v>50.559839999999994</v>
      </c>
      <c r="R12" s="24">
        <f t="shared" si="9"/>
        <v>51.74412</v>
      </c>
      <c r="S12" s="24">
        <f t="shared" si="9"/>
        <v>54.1284</v>
      </c>
      <c r="T12" s="20">
        <f t="shared" si="4"/>
        <v>159.24799</v>
      </c>
      <c r="U12" s="20">
        <f t="shared" si="5"/>
        <v>255.75683859999998</v>
      </c>
      <c r="Y12" s="152"/>
    </row>
    <row r="13" spans="1:25" s="39" customFormat="1" ht="12.75">
      <c r="A13" s="2"/>
      <c r="B13" s="23" t="s">
        <v>120</v>
      </c>
      <c r="C13" s="2" t="s">
        <v>77</v>
      </c>
      <c r="D13" s="5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61"/>
      <c r="M13" s="61"/>
      <c r="N13" s="24">
        <v>3</v>
      </c>
      <c r="O13" s="151"/>
      <c r="P13" s="24">
        <v>0</v>
      </c>
      <c r="Q13" s="24">
        <v>0</v>
      </c>
      <c r="R13" s="24">
        <v>0</v>
      </c>
      <c r="S13" s="24">
        <v>0</v>
      </c>
      <c r="T13" s="20">
        <f t="shared" si="4"/>
        <v>0</v>
      </c>
      <c r="U13" s="20">
        <f t="shared" si="5"/>
        <v>3</v>
      </c>
      <c r="Y13" s="152"/>
    </row>
    <row r="14" spans="1:25" s="42" customFormat="1" ht="12.75">
      <c r="A14" s="2" t="s">
        <v>13</v>
      </c>
      <c r="B14" s="23" t="s">
        <v>2</v>
      </c>
      <c r="C14" s="2" t="s">
        <v>0</v>
      </c>
      <c r="D14" s="53">
        <f>D17+D28</f>
        <v>264.4</v>
      </c>
      <c r="E14" s="24">
        <f aca="true" t="shared" si="10" ref="E14:S14">E17+E28</f>
        <v>304.9</v>
      </c>
      <c r="F14" s="24">
        <f t="shared" si="10"/>
        <v>361.6</v>
      </c>
      <c r="G14" s="24">
        <f t="shared" si="10"/>
        <v>304.34999999999997</v>
      </c>
      <c r="H14" s="24">
        <f t="shared" si="10"/>
        <v>231.09999999999997</v>
      </c>
      <c r="I14" s="24">
        <f t="shared" si="10"/>
        <v>355.3</v>
      </c>
      <c r="J14" s="24">
        <f t="shared" si="10"/>
        <v>132.8</v>
      </c>
      <c r="K14" s="24">
        <f t="shared" si="10"/>
        <v>224.8</v>
      </c>
      <c r="L14" s="61">
        <f t="shared" si="2"/>
        <v>97.27390739939422</v>
      </c>
      <c r="M14" s="61">
        <f t="shared" si="3"/>
        <v>63.27047565437658</v>
      </c>
      <c r="N14" s="24">
        <f>N17+N28</f>
        <v>355.3</v>
      </c>
      <c r="O14" s="151">
        <f t="shared" si="1"/>
        <v>158.05160142348754</v>
      </c>
      <c r="P14" s="24">
        <f t="shared" si="10"/>
        <v>288.8</v>
      </c>
      <c r="Q14" s="24">
        <f t="shared" si="10"/>
        <v>303.8</v>
      </c>
      <c r="R14" s="24">
        <f t="shared" si="10"/>
        <v>308.8</v>
      </c>
      <c r="S14" s="24">
        <f t="shared" si="10"/>
        <v>318.8</v>
      </c>
      <c r="T14" s="20">
        <f t="shared" si="4"/>
        <v>1426.7499999999998</v>
      </c>
      <c r="U14" s="20">
        <f t="shared" si="5"/>
        <v>1575.5</v>
      </c>
      <c r="V14" s="154"/>
      <c r="W14" s="154"/>
      <c r="X14" s="154"/>
      <c r="Y14" s="152"/>
    </row>
    <row r="15" spans="1:25" s="157" customFormat="1" ht="12.75">
      <c r="A15" s="40"/>
      <c r="B15" s="56" t="s">
        <v>125</v>
      </c>
      <c r="C15" s="40" t="s">
        <v>78</v>
      </c>
      <c r="D15" s="11">
        <f>D21+D24+D27+D30</f>
        <v>595.9645</v>
      </c>
      <c r="E15" s="11">
        <f>E21+E24+E27+E30</f>
        <v>660.1</v>
      </c>
      <c r="F15" s="11">
        <f aca="true" t="shared" si="11" ref="F15:R15">F21+F24+F27+F30</f>
        <v>901.5955</v>
      </c>
      <c r="G15" s="11">
        <f t="shared" si="11"/>
        <v>629.4045</v>
      </c>
      <c r="H15" s="11">
        <f t="shared" si="11"/>
        <v>863.605</v>
      </c>
      <c r="I15" s="11">
        <f t="shared" si="11"/>
        <v>1321.1531</v>
      </c>
      <c r="J15" s="11">
        <f t="shared" si="11"/>
        <v>114.814</v>
      </c>
      <c r="K15" s="11">
        <f t="shared" si="11"/>
        <v>776.3100000000001</v>
      </c>
      <c r="L15" s="62">
        <f t="shared" si="2"/>
        <v>89.89179080713984</v>
      </c>
      <c r="M15" s="62">
        <f t="shared" si="3"/>
        <v>58.7600331861614</v>
      </c>
      <c r="N15" s="11">
        <f>N21+N24+N27+N30</f>
        <v>1412.1531</v>
      </c>
      <c r="O15" s="155">
        <f t="shared" si="1"/>
        <v>181.90582370444795</v>
      </c>
      <c r="P15" s="11">
        <f t="shared" si="11"/>
        <v>1275.26</v>
      </c>
      <c r="Q15" s="11">
        <f t="shared" si="11"/>
        <v>1376.6399999999999</v>
      </c>
      <c r="R15" s="11">
        <f t="shared" si="11"/>
        <v>1424.02</v>
      </c>
      <c r="S15" s="11">
        <f>S21+S24+S27+S30</f>
        <v>1521.4</v>
      </c>
      <c r="T15" s="156">
        <f t="shared" si="4"/>
        <v>3831.015</v>
      </c>
      <c r="U15" s="156">
        <f t="shared" si="5"/>
        <v>7009.473099999999</v>
      </c>
      <c r="Y15" s="152"/>
    </row>
    <row r="16" spans="1:25" s="158" customFormat="1" ht="12.75">
      <c r="A16" s="5"/>
      <c r="B16" s="8" t="s">
        <v>111</v>
      </c>
      <c r="C16" s="5" t="s">
        <v>76</v>
      </c>
      <c r="D16" s="49">
        <f>D18+D31</f>
        <v>3.5757869999999996</v>
      </c>
      <c r="E16" s="21">
        <f>E18+E31</f>
        <v>3.9606000000000003</v>
      </c>
      <c r="F16" s="21">
        <f aca="true" t="shared" si="12" ref="F16:R16">F18+F31</f>
        <v>5.409573</v>
      </c>
      <c r="G16" s="21">
        <f t="shared" si="12"/>
        <v>3.7764269999999995</v>
      </c>
      <c r="H16" s="21">
        <f t="shared" si="12"/>
        <v>5.18163</v>
      </c>
      <c r="I16" s="21">
        <f>I18+I31</f>
        <v>7.9269186000000005</v>
      </c>
      <c r="J16" s="21">
        <f>J18+J31</f>
        <v>0.688884</v>
      </c>
      <c r="K16" s="21">
        <f t="shared" si="12"/>
        <v>4.65786</v>
      </c>
      <c r="L16" s="62">
        <f t="shared" si="2"/>
        <v>89.89179080713984</v>
      </c>
      <c r="M16" s="62">
        <f t="shared" si="3"/>
        <v>58.7600331861614</v>
      </c>
      <c r="N16" s="21">
        <f t="shared" si="12"/>
        <v>8.4729186</v>
      </c>
      <c r="O16" s="155">
        <f t="shared" si="1"/>
        <v>181.90582370444795</v>
      </c>
      <c r="P16" s="21">
        <f t="shared" si="12"/>
        <v>7.651559999999999</v>
      </c>
      <c r="Q16" s="21">
        <f t="shared" si="12"/>
        <v>8.25984</v>
      </c>
      <c r="R16" s="21">
        <f t="shared" si="12"/>
        <v>8.54412</v>
      </c>
      <c r="S16" s="21">
        <f>S18+S31</f>
        <v>9.128400000000001</v>
      </c>
      <c r="T16" s="156">
        <f t="shared" si="4"/>
        <v>22.98609</v>
      </c>
      <c r="U16" s="156">
        <f t="shared" si="5"/>
        <v>42.0568386</v>
      </c>
      <c r="Y16" s="152"/>
    </row>
    <row r="17" spans="1:29" s="158" customFormat="1" ht="12.75">
      <c r="A17" s="5" t="s">
        <v>10</v>
      </c>
      <c r="B17" s="8" t="s">
        <v>59</v>
      </c>
      <c r="C17" s="5" t="s">
        <v>0</v>
      </c>
      <c r="D17" s="49">
        <f>D19+D22+D25</f>
        <v>219.4</v>
      </c>
      <c r="E17" s="21">
        <f aca="true" t="shared" si="13" ref="E17:S17">E19+E22+E25</f>
        <v>247.5</v>
      </c>
      <c r="F17" s="21">
        <f t="shared" si="13"/>
        <v>286.6</v>
      </c>
      <c r="G17" s="21">
        <f t="shared" si="13"/>
        <v>269.15</v>
      </c>
      <c r="H17" s="21">
        <f t="shared" si="13"/>
        <v>169.89999999999998</v>
      </c>
      <c r="I17" s="21">
        <f t="shared" si="13"/>
        <v>285</v>
      </c>
      <c r="J17" s="21">
        <f t="shared" si="13"/>
        <v>125.8</v>
      </c>
      <c r="K17" s="21">
        <f t="shared" si="13"/>
        <v>194.8</v>
      </c>
      <c r="L17" s="62">
        <f t="shared" si="2"/>
        <v>114.65567981165394</v>
      </c>
      <c r="M17" s="62">
        <f t="shared" si="3"/>
        <v>68.35087719298247</v>
      </c>
      <c r="N17" s="21">
        <f t="shared" si="13"/>
        <v>285</v>
      </c>
      <c r="O17" s="155">
        <f t="shared" si="1"/>
        <v>146.30390143737168</v>
      </c>
      <c r="P17" s="21">
        <f t="shared" si="13"/>
        <v>223.8</v>
      </c>
      <c r="Q17" s="21">
        <f t="shared" si="13"/>
        <v>233.8</v>
      </c>
      <c r="R17" s="21">
        <f t="shared" si="13"/>
        <v>238.8</v>
      </c>
      <c r="S17" s="21">
        <f t="shared" si="13"/>
        <v>248.8</v>
      </c>
      <c r="T17" s="156">
        <f t="shared" si="4"/>
        <v>1167.95</v>
      </c>
      <c r="U17" s="156">
        <f t="shared" si="5"/>
        <v>1230.2</v>
      </c>
      <c r="V17" s="159"/>
      <c r="W17" s="159"/>
      <c r="X17" s="159"/>
      <c r="Y17" s="152"/>
      <c r="Z17" s="159"/>
      <c r="AA17" s="159"/>
      <c r="AB17" s="159"/>
      <c r="AC17" s="159"/>
    </row>
    <row r="18" spans="1:25" s="158" customFormat="1" ht="12.75">
      <c r="A18" s="5"/>
      <c r="B18" s="8" t="s">
        <v>109</v>
      </c>
      <c r="C18" s="5" t="s">
        <v>76</v>
      </c>
      <c r="D18" s="49">
        <f>(D21+D24+D27)*6/1000</f>
        <v>2.1129269999999996</v>
      </c>
      <c r="E18" s="21">
        <f>(E21+E24+E27)*6/1000</f>
        <v>2.583</v>
      </c>
      <c r="F18" s="21">
        <f aca="true" t="shared" si="14" ref="F18:S18">(F21+F24+F27)*6/1000</f>
        <v>3.060573</v>
      </c>
      <c r="G18" s="21">
        <f t="shared" si="14"/>
        <v>3.1193837999999996</v>
      </c>
      <c r="H18" s="21">
        <f t="shared" si="14"/>
        <v>3.1620299999999997</v>
      </c>
      <c r="I18" s="21">
        <f t="shared" si="14"/>
        <v>5.448</v>
      </c>
      <c r="J18" s="21">
        <f t="shared" si="14"/>
        <v>0.688884</v>
      </c>
      <c r="K18" s="21">
        <f t="shared" si="14"/>
        <v>3.6678600000000006</v>
      </c>
      <c r="L18" s="62">
        <f t="shared" si="2"/>
        <v>115.99700192597797</v>
      </c>
      <c r="M18" s="62">
        <f t="shared" si="3"/>
        <v>67.32488986784142</v>
      </c>
      <c r="N18" s="21">
        <f t="shared" si="14"/>
        <v>5.994</v>
      </c>
      <c r="O18" s="155">
        <f t="shared" si="1"/>
        <v>163.4195416400844</v>
      </c>
      <c r="P18" s="21">
        <f t="shared" si="14"/>
        <v>5.311559999999999</v>
      </c>
      <c r="Q18" s="21">
        <f t="shared" si="14"/>
        <v>5.73984</v>
      </c>
      <c r="R18" s="21">
        <f t="shared" si="14"/>
        <v>6.02412</v>
      </c>
      <c r="S18" s="21">
        <f t="shared" si="14"/>
        <v>6.6084000000000005</v>
      </c>
      <c r="T18" s="156">
        <f t="shared" si="4"/>
        <v>15.5928468</v>
      </c>
      <c r="U18" s="156">
        <f t="shared" si="5"/>
        <v>29.677919999999997</v>
      </c>
      <c r="Y18" s="152"/>
    </row>
    <row r="19" spans="1:25" s="158" customFormat="1" ht="12.75">
      <c r="A19" s="7" t="s">
        <v>3</v>
      </c>
      <c r="B19" s="8" t="s">
        <v>73</v>
      </c>
      <c r="C19" s="5" t="s">
        <v>0</v>
      </c>
      <c r="D19" s="49">
        <v>3</v>
      </c>
      <c r="E19" s="21">
        <v>11.2</v>
      </c>
      <c r="F19" s="21">
        <v>29.5</v>
      </c>
      <c r="G19" s="21">
        <v>27.25</v>
      </c>
      <c r="H19" s="21">
        <v>28.1</v>
      </c>
      <c r="I19" s="21">
        <v>40</v>
      </c>
      <c r="J19" s="21">
        <v>27.8</v>
      </c>
      <c r="K19" s="21">
        <v>27.8</v>
      </c>
      <c r="L19" s="62">
        <f t="shared" si="2"/>
        <v>98.932384341637</v>
      </c>
      <c r="M19" s="62">
        <f t="shared" si="3"/>
        <v>69.5</v>
      </c>
      <c r="N19" s="21">
        <v>40</v>
      </c>
      <c r="O19" s="155">
        <f t="shared" si="1"/>
        <v>143.88489208633092</v>
      </c>
      <c r="P19" s="21">
        <v>45</v>
      </c>
      <c r="Q19" s="21">
        <v>50</v>
      </c>
      <c r="R19" s="21">
        <v>55</v>
      </c>
      <c r="S19" s="21">
        <v>65</v>
      </c>
      <c r="T19" s="156">
        <f t="shared" si="4"/>
        <v>123.85000000000001</v>
      </c>
      <c r="U19" s="156">
        <f t="shared" si="5"/>
        <v>255</v>
      </c>
      <c r="Y19" s="152"/>
    </row>
    <row r="20" spans="1:25" s="160" customFormat="1" ht="12.75">
      <c r="A20" s="9" t="s">
        <v>60</v>
      </c>
      <c r="B20" s="25" t="s">
        <v>42</v>
      </c>
      <c r="C20" s="10" t="s">
        <v>55</v>
      </c>
      <c r="D20" s="49">
        <v>40</v>
      </c>
      <c r="E20" s="21">
        <v>45</v>
      </c>
      <c r="F20" s="21">
        <v>49.49</v>
      </c>
      <c r="G20" s="21">
        <v>47.34</v>
      </c>
      <c r="H20" s="21">
        <v>40.5</v>
      </c>
      <c r="I20" s="21">
        <v>38</v>
      </c>
      <c r="J20" s="21">
        <v>41.3</v>
      </c>
      <c r="K20" s="21">
        <v>42</v>
      </c>
      <c r="L20" s="62">
        <f t="shared" si="2"/>
        <v>103.7037037037037</v>
      </c>
      <c r="M20" s="62">
        <f t="shared" si="3"/>
        <v>110.5263157894737</v>
      </c>
      <c r="N20" s="21">
        <v>42</v>
      </c>
      <c r="O20" s="155">
        <f t="shared" si="1"/>
        <v>100</v>
      </c>
      <c r="P20" s="21">
        <v>46</v>
      </c>
      <c r="Q20" s="21">
        <v>47</v>
      </c>
      <c r="R20" s="21">
        <v>48</v>
      </c>
      <c r="S20" s="21">
        <v>50</v>
      </c>
      <c r="T20" s="156">
        <f t="shared" si="4"/>
        <v>224.33</v>
      </c>
      <c r="U20" s="156">
        <f t="shared" si="5"/>
        <v>233</v>
      </c>
      <c r="Y20" s="152"/>
    </row>
    <row r="21" spans="1:25" s="160" customFormat="1" ht="15" customHeight="1">
      <c r="A21" s="9" t="s">
        <v>60</v>
      </c>
      <c r="B21" s="25" t="s">
        <v>61</v>
      </c>
      <c r="C21" s="10" t="s">
        <v>30</v>
      </c>
      <c r="D21" s="161">
        <f>D19*D20/10</f>
        <v>12</v>
      </c>
      <c r="E21" s="19">
        <f aca="true" t="shared" si="15" ref="E21:S21">E19*E20/10</f>
        <v>50.39999999999999</v>
      </c>
      <c r="F21" s="19">
        <f t="shared" si="15"/>
        <v>145.99550000000002</v>
      </c>
      <c r="G21" s="19">
        <f t="shared" si="15"/>
        <v>129.00150000000002</v>
      </c>
      <c r="H21" s="19">
        <f t="shared" si="15"/>
        <v>113.80499999999999</v>
      </c>
      <c r="I21" s="19">
        <f t="shared" si="15"/>
        <v>152</v>
      </c>
      <c r="J21" s="19">
        <f t="shared" si="15"/>
        <v>114.814</v>
      </c>
      <c r="K21" s="19">
        <f t="shared" si="15"/>
        <v>116.76000000000002</v>
      </c>
      <c r="L21" s="62">
        <f t="shared" si="2"/>
        <v>102.59654672466063</v>
      </c>
      <c r="M21" s="62">
        <f t="shared" si="3"/>
        <v>76.81578947368422</v>
      </c>
      <c r="N21" s="19">
        <f>N19*N20/10</f>
        <v>168</v>
      </c>
      <c r="O21" s="155">
        <f t="shared" si="1"/>
        <v>143.8848920863309</v>
      </c>
      <c r="P21" s="19">
        <f t="shared" si="15"/>
        <v>207</v>
      </c>
      <c r="Q21" s="19">
        <f t="shared" si="15"/>
        <v>235</v>
      </c>
      <c r="R21" s="19">
        <f t="shared" si="15"/>
        <v>264</v>
      </c>
      <c r="S21" s="19">
        <f t="shared" si="15"/>
        <v>325</v>
      </c>
      <c r="T21" s="156">
        <f t="shared" si="4"/>
        <v>555.9620000000001</v>
      </c>
      <c r="U21" s="156">
        <f t="shared" si="5"/>
        <v>1199</v>
      </c>
      <c r="Y21" s="152"/>
    </row>
    <row r="22" spans="1:25" s="158" customFormat="1" ht="12.75">
      <c r="A22" s="7" t="s">
        <v>3</v>
      </c>
      <c r="B22" s="8" t="s">
        <v>58</v>
      </c>
      <c r="C22" s="5" t="s">
        <v>0</v>
      </c>
      <c r="D22" s="49">
        <v>23.5</v>
      </c>
      <c r="E22" s="21">
        <v>30.8</v>
      </c>
      <c r="F22" s="21">
        <v>82.6</v>
      </c>
      <c r="G22" s="21">
        <v>45.2</v>
      </c>
      <c r="H22" s="21">
        <v>48</v>
      </c>
      <c r="I22" s="21">
        <v>95</v>
      </c>
      <c r="J22" s="21">
        <v>13</v>
      </c>
      <c r="K22" s="21">
        <v>33.5</v>
      </c>
      <c r="L22" s="62">
        <f t="shared" si="2"/>
        <v>69.79166666666666</v>
      </c>
      <c r="M22" s="62">
        <f t="shared" si="3"/>
        <v>35.26315789473684</v>
      </c>
      <c r="N22" s="21">
        <v>95</v>
      </c>
      <c r="O22" s="155">
        <f t="shared" si="1"/>
        <v>283.5820895522388</v>
      </c>
      <c r="P22" s="21">
        <v>85</v>
      </c>
      <c r="Q22" s="21">
        <v>90</v>
      </c>
      <c r="R22" s="21">
        <v>90</v>
      </c>
      <c r="S22" s="21">
        <v>90</v>
      </c>
      <c r="T22" s="156">
        <f t="shared" si="4"/>
        <v>240.1</v>
      </c>
      <c r="U22" s="156">
        <f t="shared" si="5"/>
        <v>450</v>
      </c>
      <c r="Y22" s="152"/>
    </row>
    <row r="23" spans="1:25" s="158" customFormat="1" ht="12.75">
      <c r="A23" s="9" t="s">
        <v>60</v>
      </c>
      <c r="B23" s="25" t="s">
        <v>42</v>
      </c>
      <c r="C23" s="10" t="s">
        <v>55</v>
      </c>
      <c r="D23" s="49">
        <v>32.29</v>
      </c>
      <c r="E23" s="21">
        <v>30</v>
      </c>
      <c r="F23" s="21">
        <v>35</v>
      </c>
      <c r="G23" s="21">
        <v>21.64</v>
      </c>
      <c r="H23" s="21">
        <v>47</v>
      </c>
      <c r="I23" s="21">
        <v>48</v>
      </c>
      <c r="J23" s="21"/>
      <c r="K23" s="21">
        <v>48</v>
      </c>
      <c r="L23" s="62">
        <f t="shared" si="2"/>
        <v>102.12765957446808</v>
      </c>
      <c r="M23" s="62">
        <f t="shared" si="3"/>
        <v>100</v>
      </c>
      <c r="N23" s="21">
        <v>48</v>
      </c>
      <c r="O23" s="155">
        <f t="shared" si="1"/>
        <v>100</v>
      </c>
      <c r="P23" s="21">
        <v>50</v>
      </c>
      <c r="Q23" s="21">
        <v>51</v>
      </c>
      <c r="R23" s="21">
        <v>52</v>
      </c>
      <c r="S23" s="21">
        <v>55</v>
      </c>
      <c r="T23" s="156">
        <f t="shared" si="4"/>
        <v>181.64</v>
      </c>
      <c r="U23" s="156">
        <f t="shared" si="5"/>
        <v>256</v>
      </c>
      <c r="Y23" s="152"/>
    </row>
    <row r="24" spans="1:25" s="158" customFormat="1" ht="12.75">
      <c r="A24" s="9" t="s">
        <v>60</v>
      </c>
      <c r="B24" s="25" t="s">
        <v>61</v>
      </c>
      <c r="C24" s="10" t="s">
        <v>30</v>
      </c>
      <c r="D24" s="49">
        <f>D22*D23/10</f>
        <v>75.88149999999999</v>
      </c>
      <c r="E24" s="21">
        <f aca="true" t="shared" si="16" ref="E24:S24">E22*E23/10</f>
        <v>92.4</v>
      </c>
      <c r="F24" s="21">
        <f t="shared" si="16"/>
        <v>289.1</v>
      </c>
      <c r="G24" s="21">
        <f t="shared" si="16"/>
        <v>97.81280000000001</v>
      </c>
      <c r="H24" s="21">
        <f t="shared" si="16"/>
        <v>225.6</v>
      </c>
      <c r="I24" s="21">
        <f t="shared" si="16"/>
        <v>456</v>
      </c>
      <c r="J24" s="21"/>
      <c r="K24" s="21">
        <f t="shared" si="16"/>
        <v>160.8</v>
      </c>
      <c r="L24" s="62">
        <f t="shared" si="2"/>
        <v>71.27659574468086</v>
      </c>
      <c r="M24" s="62">
        <f t="shared" si="3"/>
        <v>35.26315789473685</v>
      </c>
      <c r="N24" s="21">
        <f>N22*N23/10</f>
        <v>456</v>
      </c>
      <c r="O24" s="155">
        <f t="shared" si="1"/>
        <v>283.58208955223876</v>
      </c>
      <c r="P24" s="21">
        <f t="shared" si="16"/>
        <v>425</v>
      </c>
      <c r="Q24" s="21">
        <f t="shared" si="16"/>
        <v>459</v>
      </c>
      <c r="R24" s="21">
        <f t="shared" si="16"/>
        <v>468</v>
      </c>
      <c r="S24" s="21">
        <f t="shared" si="16"/>
        <v>495</v>
      </c>
      <c r="T24" s="156">
        <f t="shared" si="4"/>
        <v>865.7128</v>
      </c>
      <c r="U24" s="156">
        <f t="shared" si="5"/>
        <v>2303</v>
      </c>
      <c r="Y24" s="152"/>
    </row>
    <row r="25" spans="1:25" s="158" customFormat="1" ht="12.75">
      <c r="A25" s="7" t="s">
        <v>3</v>
      </c>
      <c r="B25" s="8" t="s">
        <v>72</v>
      </c>
      <c r="C25" s="5" t="s">
        <v>0</v>
      </c>
      <c r="D25" s="49">
        <v>192.9</v>
      </c>
      <c r="E25" s="21">
        <v>205.5</v>
      </c>
      <c r="F25" s="21">
        <v>174.5</v>
      </c>
      <c r="G25" s="21">
        <v>196.7</v>
      </c>
      <c r="H25" s="21">
        <v>93.8</v>
      </c>
      <c r="I25" s="21">
        <v>150</v>
      </c>
      <c r="J25" s="21">
        <v>85</v>
      </c>
      <c r="K25" s="21">
        <v>133.5</v>
      </c>
      <c r="L25" s="62">
        <f t="shared" si="2"/>
        <v>142.32409381663115</v>
      </c>
      <c r="M25" s="62">
        <f t="shared" si="3"/>
        <v>89</v>
      </c>
      <c r="N25" s="21">
        <v>150</v>
      </c>
      <c r="O25" s="155">
        <f t="shared" si="1"/>
        <v>112.35955056179776</v>
      </c>
      <c r="P25" s="21">
        <v>93.8</v>
      </c>
      <c r="Q25" s="21">
        <v>93.8</v>
      </c>
      <c r="R25" s="21">
        <v>93.8</v>
      </c>
      <c r="S25" s="21">
        <v>93.8</v>
      </c>
      <c r="T25" s="156">
        <f t="shared" si="4"/>
        <v>804</v>
      </c>
      <c r="U25" s="156">
        <f t="shared" si="5"/>
        <v>525.2</v>
      </c>
      <c r="Y25" s="152"/>
    </row>
    <row r="26" spans="1:25" s="158" customFormat="1" ht="12.75">
      <c r="A26" s="9" t="s">
        <v>60</v>
      </c>
      <c r="B26" s="25" t="s">
        <v>42</v>
      </c>
      <c r="C26" s="10" t="s">
        <v>55</v>
      </c>
      <c r="D26" s="49">
        <v>13.7</v>
      </c>
      <c r="E26" s="21">
        <v>14</v>
      </c>
      <c r="F26" s="21">
        <v>17</v>
      </c>
      <c r="G26" s="21">
        <v>14.9</v>
      </c>
      <c r="H26" s="21">
        <v>20</v>
      </c>
      <c r="I26" s="21">
        <v>20</v>
      </c>
      <c r="J26" s="21"/>
      <c r="K26" s="21">
        <v>25</v>
      </c>
      <c r="L26" s="62">
        <f t="shared" si="2"/>
        <v>125</v>
      </c>
      <c r="M26" s="62">
        <f t="shared" si="3"/>
        <v>125</v>
      </c>
      <c r="N26" s="21">
        <v>25</v>
      </c>
      <c r="O26" s="155">
        <f t="shared" si="1"/>
        <v>100</v>
      </c>
      <c r="P26" s="21">
        <v>27</v>
      </c>
      <c r="Q26" s="21">
        <v>28</v>
      </c>
      <c r="R26" s="21">
        <v>29</v>
      </c>
      <c r="S26" s="21">
        <v>30</v>
      </c>
      <c r="T26" s="156">
        <f t="shared" si="4"/>
        <v>90.9</v>
      </c>
      <c r="U26" s="156">
        <f t="shared" si="5"/>
        <v>139</v>
      </c>
      <c r="Y26" s="152"/>
    </row>
    <row r="27" spans="1:25" s="158" customFormat="1" ht="12.75">
      <c r="A27" s="9" t="s">
        <v>60</v>
      </c>
      <c r="B27" s="25" t="s">
        <v>61</v>
      </c>
      <c r="C27" s="10" t="s">
        <v>62</v>
      </c>
      <c r="D27" s="49">
        <f>D25*D26/10</f>
        <v>264.273</v>
      </c>
      <c r="E27" s="21">
        <f aca="true" t="shared" si="17" ref="E27:S27">E25*E26/10</f>
        <v>287.7</v>
      </c>
      <c r="F27" s="21">
        <v>75</v>
      </c>
      <c r="G27" s="21">
        <f t="shared" si="17"/>
        <v>293.08299999999997</v>
      </c>
      <c r="H27" s="21">
        <f t="shared" si="17"/>
        <v>187.6</v>
      </c>
      <c r="I27" s="21">
        <f>I25*I26/10</f>
        <v>300</v>
      </c>
      <c r="J27" s="21"/>
      <c r="K27" s="21">
        <f t="shared" si="17"/>
        <v>333.75</v>
      </c>
      <c r="L27" s="62">
        <f t="shared" si="2"/>
        <v>177.90511727078894</v>
      </c>
      <c r="M27" s="62">
        <f t="shared" si="3"/>
        <v>111.25</v>
      </c>
      <c r="N27" s="21">
        <f>N25*N26/10</f>
        <v>375</v>
      </c>
      <c r="O27" s="155">
        <f t="shared" si="1"/>
        <v>112.35955056179776</v>
      </c>
      <c r="P27" s="21">
        <f t="shared" si="17"/>
        <v>253.26</v>
      </c>
      <c r="Q27" s="21">
        <f t="shared" si="17"/>
        <v>262.64</v>
      </c>
      <c r="R27" s="21">
        <f t="shared" si="17"/>
        <v>272.02</v>
      </c>
      <c r="S27" s="21">
        <f t="shared" si="17"/>
        <v>281.4</v>
      </c>
      <c r="T27" s="156">
        <f t="shared" si="4"/>
        <v>1177.1329999999998</v>
      </c>
      <c r="U27" s="156">
        <f t="shared" si="5"/>
        <v>1444.32</v>
      </c>
      <c r="Y27" s="152"/>
    </row>
    <row r="28" spans="1:25" s="158" customFormat="1" ht="12.75">
      <c r="A28" s="5" t="s">
        <v>11</v>
      </c>
      <c r="B28" s="8" t="s">
        <v>53</v>
      </c>
      <c r="C28" s="5" t="s">
        <v>0</v>
      </c>
      <c r="D28" s="49">
        <v>45</v>
      </c>
      <c r="E28" s="21">
        <v>57.4</v>
      </c>
      <c r="F28" s="21">
        <v>75</v>
      </c>
      <c r="G28" s="21">
        <v>35.2</v>
      </c>
      <c r="H28" s="21">
        <v>61.2</v>
      </c>
      <c r="I28" s="21">
        <v>70.3</v>
      </c>
      <c r="J28" s="21">
        <v>7</v>
      </c>
      <c r="K28" s="21">
        <v>30</v>
      </c>
      <c r="L28" s="62">
        <f t="shared" si="2"/>
        <v>49.01960784313725</v>
      </c>
      <c r="M28" s="62">
        <f t="shared" si="3"/>
        <v>42.67425320056899</v>
      </c>
      <c r="N28" s="21">
        <v>70.3</v>
      </c>
      <c r="O28" s="155">
        <f t="shared" si="1"/>
        <v>234.33333333333331</v>
      </c>
      <c r="P28" s="21">
        <v>65</v>
      </c>
      <c r="Q28" s="21">
        <v>70</v>
      </c>
      <c r="R28" s="21">
        <v>70</v>
      </c>
      <c r="S28" s="21">
        <v>70</v>
      </c>
      <c r="T28" s="156">
        <f t="shared" si="4"/>
        <v>258.8</v>
      </c>
      <c r="U28" s="156">
        <f t="shared" si="5"/>
        <v>345.3</v>
      </c>
      <c r="Y28" s="152"/>
    </row>
    <row r="29" spans="1:25" s="158" customFormat="1" ht="12.75">
      <c r="A29" s="9" t="s">
        <v>60</v>
      </c>
      <c r="B29" s="25" t="s">
        <v>42</v>
      </c>
      <c r="C29" s="10" t="s">
        <v>55</v>
      </c>
      <c r="D29" s="49">
        <v>54.18</v>
      </c>
      <c r="E29" s="21">
        <v>40</v>
      </c>
      <c r="F29" s="21">
        <v>52.2</v>
      </c>
      <c r="G29" s="21">
        <v>31.11</v>
      </c>
      <c r="H29" s="21">
        <v>55</v>
      </c>
      <c r="I29" s="21">
        <v>58.77</v>
      </c>
      <c r="J29" s="21"/>
      <c r="K29" s="21">
        <v>55</v>
      </c>
      <c r="L29" s="62">
        <f t="shared" si="2"/>
        <v>100</v>
      </c>
      <c r="M29" s="62">
        <f t="shared" si="3"/>
        <v>93.58516249787307</v>
      </c>
      <c r="N29" s="21">
        <v>58.77</v>
      </c>
      <c r="O29" s="155">
        <f t="shared" si="1"/>
        <v>106.85454545454547</v>
      </c>
      <c r="P29" s="21">
        <v>60</v>
      </c>
      <c r="Q29" s="21">
        <v>60</v>
      </c>
      <c r="R29" s="21">
        <v>60</v>
      </c>
      <c r="S29" s="21">
        <v>60</v>
      </c>
      <c r="T29" s="156">
        <f t="shared" si="4"/>
        <v>233.31</v>
      </c>
      <c r="U29" s="156">
        <f t="shared" si="5"/>
        <v>298.77</v>
      </c>
      <c r="Y29" s="152"/>
    </row>
    <row r="30" spans="1:25" s="157" customFormat="1" ht="12.75">
      <c r="A30" s="57" t="s">
        <v>60</v>
      </c>
      <c r="B30" s="58" t="s">
        <v>61</v>
      </c>
      <c r="C30" s="59" t="s">
        <v>30</v>
      </c>
      <c r="D30" s="11">
        <f aca="true" t="shared" si="18" ref="D30:S30">D28*D29/10</f>
        <v>243.81</v>
      </c>
      <c r="E30" s="11">
        <f t="shared" si="18"/>
        <v>229.6</v>
      </c>
      <c r="F30" s="11">
        <f t="shared" si="18"/>
        <v>391.5</v>
      </c>
      <c r="G30" s="11">
        <f t="shared" si="18"/>
        <v>109.50720000000001</v>
      </c>
      <c r="H30" s="11">
        <f t="shared" si="18"/>
        <v>336.6</v>
      </c>
      <c r="I30" s="11">
        <f t="shared" si="18"/>
        <v>413.1531</v>
      </c>
      <c r="J30" s="11"/>
      <c r="K30" s="11">
        <f t="shared" si="18"/>
        <v>165</v>
      </c>
      <c r="L30" s="62">
        <f t="shared" si="2"/>
        <v>49.01960784313725</v>
      </c>
      <c r="M30" s="62">
        <f t="shared" si="3"/>
        <v>39.93676920250629</v>
      </c>
      <c r="N30" s="11">
        <f>N28*N29/10</f>
        <v>413.1531</v>
      </c>
      <c r="O30" s="155">
        <f t="shared" si="1"/>
        <v>250.39581818181819</v>
      </c>
      <c r="P30" s="11">
        <f t="shared" si="18"/>
        <v>390</v>
      </c>
      <c r="Q30" s="11">
        <f t="shared" si="18"/>
        <v>420</v>
      </c>
      <c r="R30" s="11">
        <f t="shared" si="18"/>
        <v>420</v>
      </c>
      <c r="S30" s="11">
        <f t="shared" si="18"/>
        <v>420</v>
      </c>
      <c r="T30" s="156">
        <f t="shared" si="4"/>
        <v>1232.2072</v>
      </c>
      <c r="U30" s="156">
        <f t="shared" si="5"/>
        <v>2063.1531</v>
      </c>
      <c r="Y30" s="152"/>
    </row>
    <row r="31" spans="1:25" s="158" customFormat="1" ht="12.75">
      <c r="A31" s="9" t="s">
        <v>60</v>
      </c>
      <c r="B31" s="25" t="s">
        <v>96</v>
      </c>
      <c r="C31" s="5" t="s">
        <v>76</v>
      </c>
      <c r="D31" s="49">
        <f aca="true" t="shared" si="19" ref="D31:S31">D30*6/1000</f>
        <v>1.46286</v>
      </c>
      <c r="E31" s="21">
        <f t="shared" si="19"/>
        <v>1.3776</v>
      </c>
      <c r="F31" s="21">
        <f t="shared" si="19"/>
        <v>2.349</v>
      </c>
      <c r="G31" s="21">
        <f t="shared" si="19"/>
        <v>0.6570432</v>
      </c>
      <c r="H31" s="21">
        <f t="shared" si="19"/>
        <v>2.0196</v>
      </c>
      <c r="I31" s="21">
        <f t="shared" si="19"/>
        <v>2.4789186</v>
      </c>
      <c r="J31" s="21"/>
      <c r="K31" s="21">
        <f t="shared" si="19"/>
        <v>0.99</v>
      </c>
      <c r="L31" s="62">
        <f t="shared" si="2"/>
        <v>49.01960784313725</v>
      </c>
      <c r="M31" s="62">
        <f t="shared" si="3"/>
        <v>39.936769202506284</v>
      </c>
      <c r="N31" s="21">
        <f t="shared" si="19"/>
        <v>2.4789186</v>
      </c>
      <c r="O31" s="155">
        <f t="shared" si="1"/>
        <v>250.39581818181819</v>
      </c>
      <c r="P31" s="21">
        <f t="shared" si="19"/>
        <v>2.34</v>
      </c>
      <c r="Q31" s="21">
        <f t="shared" si="19"/>
        <v>2.52</v>
      </c>
      <c r="R31" s="21">
        <f t="shared" si="19"/>
        <v>2.52</v>
      </c>
      <c r="S31" s="21">
        <f t="shared" si="19"/>
        <v>2.52</v>
      </c>
      <c r="T31" s="156">
        <f t="shared" si="4"/>
        <v>7.393243200000001</v>
      </c>
      <c r="U31" s="156">
        <f t="shared" si="5"/>
        <v>12.378918599999999</v>
      </c>
      <c r="Y31" s="152"/>
    </row>
    <row r="32" spans="1:25" s="42" customFormat="1" ht="12.75">
      <c r="A32" s="12" t="s">
        <v>14</v>
      </c>
      <c r="B32" s="26" t="s">
        <v>17</v>
      </c>
      <c r="C32" s="12" t="s">
        <v>0</v>
      </c>
      <c r="D32" s="53">
        <f>D34+D38</f>
        <v>1781.1000000000001</v>
      </c>
      <c r="E32" s="24">
        <f aca="true" t="shared" si="20" ref="E32:S32">E34+E38</f>
        <v>1545.06</v>
      </c>
      <c r="F32" s="24">
        <f t="shared" si="20"/>
        <v>1453</v>
      </c>
      <c r="G32" s="24">
        <f t="shared" si="20"/>
        <v>1800</v>
      </c>
      <c r="H32" s="24">
        <f t="shared" si="20"/>
        <v>1506.5</v>
      </c>
      <c r="I32" s="24">
        <f>I34+I38</f>
        <v>2200</v>
      </c>
      <c r="J32" s="24">
        <f>J34+J38</f>
        <v>1045.5</v>
      </c>
      <c r="K32" s="24">
        <f t="shared" si="20"/>
        <v>1367.5</v>
      </c>
      <c r="L32" s="62">
        <f t="shared" si="2"/>
        <v>90.7733156322602</v>
      </c>
      <c r="M32" s="62">
        <f t="shared" si="3"/>
        <v>62.15909090909091</v>
      </c>
      <c r="N32" s="24">
        <f>N34+N38</f>
        <v>2204.5</v>
      </c>
      <c r="O32" s="155">
        <f t="shared" si="1"/>
        <v>161.20658135283364</v>
      </c>
      <c r="P32" s="24">
        <f t="shared" si="20"/>
        <v>1805</v>
      </c>
      <c r="Q32" s="24">
        <f t="shared" si="20"/>
        <v>1805</v>
      </c>
      <c r="R32" s="24">
        <f t="shared" si="20"/>
        <v>1804</v>
      </c>
      <c r="S32" s="24">
        <f t="shared" si="20"/>
        <v>1805</v>
      </c>
      <c r="T32" s="20">
        <f t="shared" si="4"/>
        <v>7672.0599999999995</v>
      </c>
      <c r="U32" s="20">
        <f t="shared" si="5"/>
        <v>9423.5</v>
      </c>
      <c r="Y32" s="152"/>
    </row>
    <row r="33" spans="1:25" s="158" customFormat="1" ht="12.75">
      <c r="A33" s="40"/>
      <c r="B33" s="32" t="s">
        <v>79</v>
      </c>
      <c r="C33" s="40" t="s">
        <v>77</v>
      </c>
      <c r="D33" s="49">
        <f>D37</f>
        <v>26.7135</v>
      </c>
      <c r="E33" s="21">
        <f>E37</f>
        <v>23.120399999999997</v>
      </c>
      <c r="F33" s="21">
        <f aca="true" t="shared" si="21" ref="F33:S33">F37</f>
        <v>24.497</v>
      </c>
      <c r="G33" s="21">
        <f t="shared" si="21"/>
        <v>34.2</v>
      </c>
      <c r="H33" s="21">
        <f t="shared" si="21"/>
        <v>28.5475</v>
      </c>
      <c r="I33" s="21">
        <f t="shared" si="21"/>
        <v>39.6</v>
      </c>
      <c r="J33" s="21"/>
      <c r="K33" s="21">
        <f t="shared" si="21"/>
        <v>25.897</v>
      </c>
      <c r="L33" s="62">
        <f t="shared" si="2"/>
        <v>90.71547420965058</v>
      </c>
      <c r="M33" s="62">
        <f t="shared" si="3"/>
        <v>65.39646464646464</v>
      </c>
      <c r="N33" s="21">
        <f>N37</f>
        <v>41.8</v>
      </c>
      <c r="O33" s="155">
        <f t="shared" si="1"/>
        <v>161.40865737344095</v>
      </c>
      <c r="P33" s="21">
        <f t="shared" si="21"/>
        <v>41.4</v>
      </c>
      <c r="Q33" s="21">
        <f t="shared" si="21"/>
        <v>42.3</v>
      </c>
      <c r="R33" s="21">
        <f t="shared" si="21"/>
        <v>43.2</v>
      </c>
      <c r="S33" s="21">
        <f t="shared" si="21"/>
        <v>45</v>
      </c>
      <c r="T33" s="156">
        <f t="shared" si="4"/>
        <v>136.2619</v>
      </c>
      <c r="U33" s="156">
        <f t="shared" si="5"/>
        <v>213.7</v>
      </c>
      <c r="Y33" s="152"/>
    </row>
    <row r="34" spans="1:25" s="158" customFormat="1" ht="12.75">
      <c r="A34" s="5" t="s">
        <v>10</v>
      </c>
      <c r="B34" s="27" t="s">
        <v>49</v>
      </c>
      <c r="C34" s="5" t="s">
        <v>0</v>
      </c>
      <c r="D34" s="49">
        <v>1780.9</v>
      </c>
      <c r="E34" s="21">
        <v>1541.36</v>
      </c>
      <c r="F34" s="21">
        <v>1441</v>
      </c>
      <c r="G34" s="21">
        <v>1800</v>
      </c>
      <c r="H34" s="21">
        <v>1502.5</v>
      </c>
      <c r="I34" s="21">
        <v>2200</v>
      </c>
      <c r="J34" s="21">
        <v>1041</v>
      </c>
      <c r="K34" s="21">
        <v>1363</v>
      </c>
      <c r="L34" s="62">
        <f t="shared" si="2"/>
        <v>90.71547420965058</v>
      </c>
      <c r="M34" s="62">
        <f t="shared" si="3"/>
        <v>61.95454545454545</v>
      </c>
      <c r="N34" s="21">
        <v>2200</v>
      </c>
      <c r="O34" s="155">
        <f t="shared" si="1"/>
        <v>161.40865737344095</v>
      </c>
      <c r="P34" s="21">
        <v>1800</v>
      </c>
      <c r="Q34" s="21">
        <v>1800</v>
      </c>
      <c r="R34" s="21">
        <v>1800</v>
      </c>
      <c r="S34" s="21">
        <v>1800</v>
      </c>
      <c r="T34" s="156">
        <f t="shared" si="4"/>
        <v>7647.86</v>
      </c>
      <c r="U34" s="156">
        <f t="shared" si="5"/>
        <v>9400</v>
      </c>
      <c r="Y34" s="152"/>
    </row>
    <row r="35" spans="1:25" s="160" customFormat="1" ht="12.75">
      <c r="A35" s="9" t="s">
        <v>3</v>
      </c>
      <c r="B35" s="28" t="s">
        <v>56</v>
      </c>
      <c r="C35" s="10" t="s">
        <v>55</v>
      </c>
      <c r="D35" s="49">
        <v>150</v>
      </c>
      <c r="E35" s="21">
        <v>150</v>
      </c>
      <c r="F35" s="21">
        <v>170</v>
      </c>
      <c r="G35" s="21">
        <v>190</v>
      </c>
      <c r="H35" s="21">
        <v>190</v>
      </c>
      <c r="I35" s="21">
        <v>180</v>
      </c>
      <c r="J35" s="21"/>
      <c r="K35" s="21">
        <v>190</v>
      </c>
      <c r="L35" s="62">
        <f t="shared" si="2"/>
        <v>100</v>
      </c>
      <c r="M35" s="62">
        <f t="shared" si="3"/>
        <v>105.55555555555556</v>
      </c>
      <c r="N35" s="21">
        <v>190</v>
      </c>
      <c r="O35" s="155">
        <f t="shared" si="1"/>
        <v>100</v>
      </c>
      <c r="P35" s="21">
        <v>230</v>
      </c>
      <c r="Q35" s="21">
        <v>235</v>
      </c>
      <c r="R35" s="21">
        <v>240</v>
      </c>
      <c r="S35" s="21">
        <v>250</v>
      </c>
      <c r="T35" s="156">
        <f t="shared" si="4"/>
        <v>890</v>
      </c>
      <c r="U35" s="156">
        <f t="shared" si="5"/>
        <v>1145</v>
      </c>
      <c r="Y35" s="152"/>
    </row>
    <row r="36" spans="1:25" s="162" customFormat="1" ht="12.75">
      <c r="A36" s="15" t="s">
        <v>3</v>
      </c>
      <c r="B36" s="29" t="s">
        <v>57</v>
      </c>
      <c r="C36" s="16" t="s">
        <v>30</v>
      </c>
      <c r="D36" s="49">
        <f>D34*D35/10</f>
        <v>26713.5</v>
      </c>
      <c r="E36" s="21">
        <f aca="true" t="shared" si="22" ref="E36:S36">E34*E35/10</f>
        <v>23120.399999999998</v>
      </c>
      <c r="F36" s="21">
        <f t="shared" si="22"/>
        <v>24497</v>
      </c>
      <c r="G36" s="21">
        <f t="shared" si="22"/>
        <v>34200</v>
      </c>
      <c r="H36" s="21">
        <f t="shared" si="22"/>
        <v>28547.5</v>
      </c>
      <c r="I36" s="21">
        <f t="shared" si="22"/>
        <v>39600</v>
      </c>
      <c r="J36" s="21"/>
      <c r="K36" s="21">
        <f t="shared" si="22"/>
        <v>25897</v>
      </c>
      <c r="L36" s="62">
        <f t="shared" si="2"/>
        <v>90.71547420965058</v>
      </c>
      <c r="M36" s="62">
        <f t="shared" si="3"/>
        <v>65.39646464646465</v>
      </c>
      <c r="N36" s="21">
        <f>N34*N35/10</f>
        <v>41800</v>
      </c>
      <c r="O36" s="155">
        <f t="shared" si="1"/>
        <v>161.40865737344095</v>
      </c>
      <c r="P36" s="21">
        <f t="shared" si="22"/>
        <v>41400</v>
      </c>
      <c r="Q36" s="21">
        <f t="shared" si="22"/>
        <v>42300</v>
      </c>
      <c r="R36" s="21">
        <f t="shared" si="22"/>
        <v>43200</v>
      </c>
      <c r="S36" s="21">
        <f t="shared" si="22"/>
        <v>45000</v>
      </c>
      <c r="T36" s="156">
        <f t="shared" si="4"/>
        <v>136261.9</v>
      </c>
      <c r="U36" s="156">
        <f t="shared" si="5"/>
        <v>213700</v>
      </c>
      <c r="Y36" s="152"/>
    </row>
    <row r="37" spans="1:25" s="162" customFormat="1" ht="12.75">
      <c r="A37" s="15"/>
      <c r="B37" s="32" t="s">
        <v>79</v>
      </c>
      <c r="C37" s="40" t="s">
        <v>77</v>
      </c>
      <c r="D37" s="49">
        <f>D36*1/1000</f>
        <v>26.7135</v>
      </c>
      <c r="E37" s="21">
        <f aca="true" t="shared" si="23" ref="E37:R37">E36*1/1000</f>
        <v>23.120399999999997</v>
      </c>
      <c r="F37" s="21">
        <f t="shared" si="23"/>
        <v>24.497</v>
      </c>
      <c r="G37" s="21">
        <f t="shared" si="23"/>
        <v>34.2</v>
      </c>
      <c r="H37" s="21">
        <f t="shared" si="23"/>
        <v>28.5475</v>
      </c>
      <c r="I37" s="21">
        <f t="shared" si="23"/>
        <v>39.6</v>
      </c>
      <c r="J37" s="21"/>
      <c r="K37" s="21">
        <f t="shared" si="23"/>
        <v>25.897</v>
      </c>
      <c r="L37" s="62">
        <f t="shared" si="2"/>
        <v>90.71547420965058</v>
      </c>
      <c r="M37" s="62">
        <f t="shared" si="3"/>
        <v>65.39646464646464</v>
      </c>
      <c r="N37" s="21">
        <f t="shared" si="23"/>
        <v>41.8</v>
      </c>
      <c r="O37" s="155">
        <f t="shared" si="1"/>
        <v>161.40865737344095</v>
      </c>
      <c r="P37" s="21">
        <f t="shared" si="23"/>
        <v>41.4</v>
      </c>
      <c r="Q37" s="21">
        <f t="shared" si="23"/>
        <v>42.3</v>
      </c>
      <c r="R37" s="21">
        <f t="shared" si="23"/>
        <v>43.2</v>
      </c>
      <c r="S37" s="21">
        <f>S36*1/1000</f>
        <v>45</v>
      </c>
      <c r="T37" s="156">
        <f t="shared" si="4"/>
        <v>136.2619</v>
      </c>
      <c r="U37" s="156">
        <f t="shared" si="5"/>
        <v>213.7</v>
      </c>
      <c r="Y37" s="152"/>
    </row>
    <row r="38" spans="1:25" s="164" customFormat="1" ht="12.75">
      <c r="A38" s="33" t="s">
        <v>11</v>
      </c>
      <c r="B38" s="13" t="s">
        <v>70</v>
      </c>
      <c r="C38" s="33" t="s">
        <v>0</v>
      </c>
      <c r="D38" s="163">
        <v>0.2</v>
      </c>
      <c r="E38" s="34">
        <v>3.7</v>
      </c>
      <c r="F38" s="34">
        <v>12</v>
      </c>
      <c r="G38" s="34"/>
      <c r="H38" s="34">
        <v>4</v>
      </c>
      <c r="I38" s="34"/>
      <c r="J38" s="34">
        <v>4.5</v>
      </c>
      <c r="K38" s="34">
        <v>4.5</v>
      </c>
      <c r="L38" s="62">
        <f t="shared" si="2"/>
        <v>112.5</v>
      </c>
      <c r="M38" s="62"/>
      <c r="N38" s="34">
        <v>4.5</v>
      </c>
      <c r="O38" s="155">
        <f t="shared" si="1"/>
        <v>100</v>
      </c>
      <c r="P38" s="34">
        <v>5</v>
      </c>
      <c r="Q38" s="34">
        <v>5</v>
      </c>
      <c r="R38" s="34">
        <v>4</v>
      </c>
      <c r="S38" s="34">
        <v>5</v>
      </c>
      <c r="T38" s="156">
        <f t="shared" si="4"/>
        <v>24.2</v>
      </c>
      <c r="U38" s="156">
        <f t="shared" si="5"/>
        <v>23.5</v>
      </c>
      <c r="Y38" s="152"/>
    </row>
    <row r="39" spans="1:25" s="160" customFormat="1" ht="12.75">
      <c r="A39" s="9" t="s">
        <v>3</v>
      </c>
      <c r="B39" s="28" t="s">
        <v>42</v>
      </c>
      <c r="C39" s="10" t="s">
        <v>55</v>
      </c>
      <c r="D39" s="49">
        <v>60</v>
      </c>
      <c r="E39" s="21">
        <v>31</v>
      </c>
      <c r="F39" s="21">
        <v>31</v>
      </c>
      <c r="G39" s="21"/>
      <c r="H39" s="21">
        <v>31</v>
      </c>
      <c r="I39" s="21"/>
      <c r="J39" s="21">
        <v>31</v>
      </c>
      <c r="K39" s="21">
        <v>31</v>
      </c>
      <c r="L39" s="62">
        <f t="shared" si="2"/>
        <v>100</v>
      </c>
      <c r="M39" s="62"/>
      <c r="N39" s="21">
        <v>31</v>
      </c>
      <c r="O39" s="155">
        <f t="shared" si="1"/>
        <v>100</v>
      </c>
      <c r="P39" s="21">
        <v>72</v>
      </c>
      <c r="Q39" s="21">
        <v>73</v>
      </c>
      <c r="R39" s="21">
        <v>74</v>
      </c>
      <c r="S39" s="21">
        <v>75</v>
      </c>
      <c r="T39" s="156">
        <f t="shared" si="4"/>
        <v>124</v>
      </c>
      <c r="U39" s="156">
        <f t="shared" si="5"/>
        <v>325</v>
      </c>
      <c r="Y39" s="152"/>
    </row>
    <row r="40" spans="1:25" s="160" customFormat="1" ht="12.75">
      <c r="A40" s="9" t="s">
        <v>3</v>
      </c>
      <c r="B40" s="28" t="s">
        <v>57</v>
      </c>
      <c r="C40" s="10" t="s">
        <v>30</v>
      </c>
      <c r="D40" s="49">
        <f>D38*D39/10</f>
        <v>1.2</v>
      </c>
      <c r="E40" s="21">
        <f aca="true" t="shared" si="24" ref="E40:S40">E38*E39/10</f>
        <v>11.47</v>
      </c>
      <c r="F40" s="21">
        <f t="shared" si="24"/>
        <v>37.2</v>
      </c>
      <c r="G40" s="21">
        <f t="shared" si="24"/>
        <v>0</v>
      </c>
      <c r="H40" s="21">
        <f t="shared" si="24"/>
        <v>12.4</v>
      </c>
      <c r="I40" s="21"/>
      <c r="J40" s="21">
        <f>J38*J39/10</f>
        <v>13.95</v>
      </c>
      <c r="K40" s="21">
        <f t="shared" si="24"/>
        <v>13.95</v>
      </c>
      <c r="L40" s="62">
        <f t="shared" si="2"/>
        <v>112.5</v>
      </c>
      <c r="M40" s="62"/>
      <c r="N40" s="21">
        <f>N38*N39/10</f>
        <v>13.95</v>
      </c>
      <c r="O40" s="155">
        <f t="shared" si="1"/>
        <v>100</v>
      </c>
      <c r="P40" s="21">
        <f t="shared" si="24"/>
        <v>36</v>
      </c>
      <c r="Q40" s="21">
        <f t="shared" si="24"/>
        <v>36.5</v>
      </c>
      <c r="R40" s="21">
        <f t="shared" si="24"/>
        <v>29.6</v>
      </c>
      <c r="S40" s="21">
        <f t="shared" si="24"/>
        <v>37.5</v>
      </c>
      <c r="T40" s="156">
        <f t="shared" si="4"/>
        <v>75.02</v>
      </c>
      <c r="U40" s="156">
        <f t="shared" si="5"/>
        <v>153.54999999999998</v>
      </c>
      <c r="Y40" s="152"/>
    </row>
    <row r="41" spans="1:25" s="165" customFormat="1" ht="12.75">
      <c r="A41" s="4" t="s">
        <v>51</v>
      </c>
      <c r="B41" s="23" t="s">
        <v>66</v>
      </c>
      <c r="C41" s="2" t="s">
        <v>0</v>
      </c>
      <c r="D41" s="53">
        <f>D42+D45+D48</f>
        <v>11.75</v>
      </c>
      <c r="E41" s="24">
        <f aca="true" t="shared" si="25" ref="E41:R41">E42+E45+E48</f>
        <v>59.269999999999996</v>
      </c>
      <c r="F41" s="24">
        <f t="shared" si="25"/>
        <v>26.82</v>
      </c>
      <c r="G41" s="24">
        <f t="shared" si="25"/>
        <v>33</v>
      </c>
      <c r="H41" s="24">
        <f>H42+H45+H48</f>
        <v>18.2</v>
      </c>
      <c r="I41" s="24">
        <f>I42+I45+I48</f>
        <v>50</v>
      </c>
      <c r="J41" s="24">
        <f>J42+J45+J48</f>
        <v>5.2</v>
      </c>
      <c r="K41" s="24">
        <f t="shared" si="25"/>
        <v>42.3</v>
      </c>
      <c r="L41" s="62">
        <f t="shared" si="2"/>
        <v>232.4175824175824</v>
      </c>
      <c r="M41" s="62">
        <f t="shared" si="3"/>
        <v>84.6</v>
      </c>
      <c r="N41" s="24">
        <f>N42+N45+N48</f>
        <v>71</v>
      </c>
      <c r="O41" s="155">
        <f t="shared" si="1"/>
        <v>167.8486997635934</v>
      </c>
      <c r="P41" s="24">
        <f t="shared" si="25"/>
        <v>27</v>
      </c>
      <c r="Q41" s="24">
        <f t="shared" si="25"/>
        <v>28</v>
      </c>
      <c r="R41" s="24">
        <f t="shared" si="25"/>
        <v>29</v>
      </c>
      <c r="S41" s="24">
        <f>S42+S45+S48</f>
        <v>30</v>
      </c>
      <c r="T41" s="20">
        <f t="shared" si="4"/>
        <v>179.58999999999997</v>
      </c>
      <c r="U41" s="20">
        <f t="shared" si="5"/>
        <v>185</v>
      </c>
      <c r="Y41" s="152"/>
    </row>
    <row r="42" spans="1:25" s="41" customFormat="1" ht="12.75">
      <c r="A42" s="5" t="s">
        <v>10</v>
      </c>
      <c r="B42" s="27" t="s">
        <v>40</v>
      </c>
      <c r="C42" s="5" t="s">
        <v>0</v>
      </c>
      <c r="D42" s="49">
        <v>6.3</v>
      </c>
      <c r="E42" s="21">
        <v>9.47</v>
      </c>
      <c r="F42" s="21">
        <v>7.42</v>
      </c>
      <c r="G42" s="21">
        <v>9</v>
      </c>
      <c r="H42" s="21">
        <v>5.2</v>
      </c>
      <c r="I42" s="21">
        <v>10</v>
      </c>
      <c r="J42" s="21">
        <v>2</v>
      </c>
      <c r="K42" s="21">
        <v>4.2</v>
      </c>
      <c r="L42" s="62">
        <f t="shared" si="2"/>
        <v>80.76923076923077</v>
      </c>
      <c r="M42" s="62">
        <f t="shared" si="3"/>
        <v>42.00000000000001</v>
      </c>
      <c r="N42" s="21">
        <v>10</v>
      </c>
      <c r="O42" s="155">
        <f t="shared" si="1"/>
        <v>238.0952380952381</v>
      </c>
      <c r="P42" s="21">
        <v>12</v>
      </c>
      <c r="Q42" s="21">
        <v>13</v>
      </c>
      <c r="R42" s="21">
        <v>14</v>
      </c>
      <c r="S42" s="21">
        <v>15</v>
      </c>
      <c r="T42" s="156">
        <f t="shared" si="4"/>
        <v>35.29</v>
      </c>
      <c r="U42" s="156">
        <f t="shared" si="5"/>
        <v>64</v>
      </c>
      <c r="Y42" s="152"/>
    </row>
    <row r="43" spans="1:25" s="160" customFormat="1" ht="12.75">
      <c r="A43" s="9" t="s">
        <v>3</v>
      </c>
      <c r="B43" s="28" t="s">
        <v>42</v>
      </c>
      <c r="C43" s="10" t="s">
        <v>55</v>
      </c>
      <c r="D43" s="49">
        <v>130</v>
      </c>
      <c r="E43" s="21">
        <v>46</v>
      </c>
      <c r="F43" s="21">
        <v>46</v>
      </c>
      <c r="G43" s="21">
        <v>46</v>
      </c>
      <c r="H43" s="21">
        <v>42</v>
      </c>
      <c r="I43" s="21">
        <v>42</v>
      </c>
      <c r="J43" s="21">
        <v>100</v>
      </c>
      <c r="K43" s="21">
        <v>140</v>
      </c>
      <c r="L43" s="62">
        <f t="shared" si="2"/>
        <v>333.33333333333337</v>
      </c>
      <c r="M43" s="62">
        <f t="shared" si="3"/>
        <v>333.33333333333337</v>
      </c>
      <c r="N43" s="21">
        <v>140</v>
      </c>
      <c r="O43" s="155">
        <f t="shared" si="1"/>
        <v>100</v>
      </c>
      <c r="P43" s="21">
        <v>150</v>
      </c>
      <c r="Q43" s="21">
        <v>155</v>
      </c>
      <c r="R43" s="21">
        <v>160</v>
      </c>
      <c r="S43" s="21">
        <v>150</v>
      </c>
      <c r="T43" s="156">
        <f t="shared" si="4"/>
        <v>320</v>
      </c>
      <c r="U43" s="156">
        <f t="shared" si="5"/>
        <v>755</v>
      </c>
      <c r="Y43" s="152"/>
    </row>
    <row r="44" spans="1:25" s="160" customFormat="1" ht="12.75">
      <c r="A44" s="9" t="s">
        <v>3</v>
      </c>
      <c r="B44" s="28" t="s">
        <v>57</v>
      </c>
      <c r="C44" s="10" t="s">
        <v>30</v>
      </c>
      <c r="D44" s="49">
        <f>D42*D43/10</f>
        <v>81.9</v>
      </c>
      <c r="E44" s="21">
        <f>E42*E43/10</f>
        <v>43.562</v>
      </c>
      <c r="F44" s="21">
        <f>F42*F43/10</f>
        <v>34.132</v>
      </c>
      <c r="G44" s="21">
        <v>9</v>
      </c>
      <c r="H44" s="21">
        <v>28.6</v>
      </c>
      <c r="I44" s="21">
        <f>I42*I43/10</f>
        <v>42</v>
      </c>
      <c r="J44" s="21">
        <f>J42*J43/10</f>
        <v>20</v>
      </c>
      <c r="K44" s="21">
        <f aca="true" t="shared" si="26" ref="K44:S44">K42*K43/10</f>
        <v>58.8</v>
      </c>
      <c r="L44" s="62">
        <f t="shared" si="2"/>
        <v>205.59440559440557</v>
      </c>
      <c r="M44" s="62">
        <f t="shared" si="3"/>
        <v>140</v>
      </c>
      <c r="N44" s="21">
        <f>N42*N43/10</f>
        <v>140</v>
      </c>
      <c r="O44" s="155">
        <f t="shared" si="1"/>
        <v>238.0952380952381</v>
      </c>
      <c r="P44" s="21">
        <f t="shared" si="26"/>
        <v>180</v>
      </c>
      <c r="Q44" s="21">
        <f t="shared" si="26"/>
        <v>201.5</v>
      </c>
      <c r="R44" s="21">
        <f t="shared" si="26"/>
        <v>224</v>
      </c>
      <c r="S44" s="21">
        <f t="shared" si="26"/>
        <v>225</v>
      </c>
      <c r="T44" s="156">
        <f t="shared" si="4"/>
        <v>174.094</v>
      </c>
      <c r="U44" s="156">
        <f t="shared" si="5"/>
        <v>970.5</v>
      </c>
      <c r="Y44" s="152"/>
    </row>
    <row r="45" spans="1:25" s="166" customFormat="1" ht="12.75">
      <c r="A45" s="33" t="s">
        <v>11</v>
      </c>
      <c r="B45" s="13" t="s">
        <v>101</v>
      </c>
      <c r="C45" s="33" t="s">
        <v>0</v>
      </c>
      <c r="D45" s="163">
        <f>4.75</f>
        <v>4.75</v>
      </c>
      <c r="E45" s="34">
        <f>7.8</f>
        <v>7.8</v>
      </c>
      <c r="F45" s="34">
        <f>10.4</f>
        <v>10.4</v>
      </c>
      <c r="G45" s="34">
        <v>9</v>
      </c>
      <c r="H45" s="34">
        <v>6</v>
      </c>
      <c r="I45" s="34">
        <v>25</v>
      </c>
      <c r="J45" s="34"/>
      <c r="K45" s="34">
        <v>2.3</v>
      </c>
      <c r="L45" s="62">
        <f t="shared" si="2"/>
        <v>38.33333333333333</v>
      </c>
      <c r="M45" s="62">
        <f t="shared" si="3"/>
        <v>9.2</v>
      </c>
      <c r="N45" s="34">
        <v>25</v>
      </c>
      <c r="O45" s="155">
        <f t="shared" si="1"/>
        <v>1086.9565217391305</v>
      </c>
      <c r="P45" s="34">
        <v>10</v>
      </c>
      <c r="Q45" s="34">
        <v>10</v>
      </c>
      <c r="R45" s="34">
        <v>10</v>
      </c>
      <c r="S45" s="34">
        <v>10</v>
      </c>
      <c r="T45" s="156">
        <f t="shared" si="4"/>
        <v>35.5</v>
      </c>
      <c r="U45" s="156">
        <f t="shared" si="5"/>
        <v>65</v>
      </c>
      <c r="Y45" s="152"/>
    </row>
    <row r="46" spans="1:25" s="160" customFormat="1" ht="12.75">
      <c r="A46" s="9" t="s">
        <v>3</v>
      </c>
      <c r="B46" s="28" t="s">
        <v>42</v>
      </c>
      <c r="C46" s="10" t="s">
        <v>55</v>
      </c>
      <c r="D46" s="49">
        <v>13</v>
      </c>
      <c r="E46" s="21">
        <v>20</v>
      </c>
      <c r="F46" s="21">
        <v>34</v>
      </c>
      <c r="G46" s="21">
        <v>34</v>
      </c>
      <c r="H46" s="21">
        <v>25</v>
      </c>
      <c r="I46" s="21">
        <v>25</v>
      </c>
      <c r="J46" s="21"/>
      <c r="K46" s="21">
        <v>35</v>
      </c>
      <c r="L46" s="62">
        <f t="shared" si="2"/>
        <v>140</v>
      </c>
      <c r="M46" s="62">
        <f t="shared" si="3"/>
        <v>140</v>
      </c>
      <c r="N46" s="21">
        <v>35</v>
      </c>
      <c r="O46" s="155">
        <f t="shared" si="1"/>
        <v>100</v>
      </c>
      <c r="P46" s="21">
        <v>25</v>
      </c>
      <c r="Q46" s="21">
        <v>25</v>
      </c>
      <c r="R46" s="21">
        <v>25</v>
      </c>
      <c r="S46" s="21">
        <v>25</v>
      </c>
      <c r="T46" s="156">
        <f t="shared" si="4"/>
        <v>148</v>
      </c>
      <c r="U46" s="156">
        <f t="shared" si="5"/>
        <v>135</v>
      </c>
      <c r="Y46" s="152"/>
    </row>
    <row r="47" spans="1:25" s="160" customFormat="1" ht="12.75">
      <c r="A47" s="9" t="s">
        <v>3</v>
      </c>
      <c r="B47" s="28" t="s">
        <v>57</v>
      </c>
      <c r="C47" s="10" t="s">
        <v>30</v>
      </c>
      <c r="D47" s="49">
        <f>D45*D46/10</f>
        <v>6.175</v>
      </c>
      <c r="E47" s="21">
        <f aca="true" t="shared" si="27" ref="E47:S47">E45*E46/10</f>
        <v>15.6</v>
      </c>
      <c r="F47" s="21">
        <f t="shared" si="27"/>
        <v>35.36</v>
      </c>
      <c r="G47" s="21">
        <f t="shared" si="27"/>
        <v>30.6</v>
      </c>
      <c r="H47" s="21">
        <f t="shared" si="27"/>
        <v>15</v>
      </c>
      <c r="I47" s="21">
        <f t="shared" si="27"/>
        <v>62.5</v>
      </c>
      <c r="J47" s="21"/>
      <c r="K47" s="21">
        <f t="shared" si="27"/>
        <v>8.05</v>
      </c>
      <c r="L47" s="62">
        <f t="shared" si="2"/>
        <v>53.66666666666667</v>
      </c>
      <c r="M47" s="62">
        <f t="shared" si="3"/>
        <v>12.879999999999999</v>
      </c>
      <c r="N47" s="21">
        <f>N45*N46/10</f>
        <v>87.5</v>
      </c>
      <c r="O47" s="155">
        <f t="shared" si="1"/>
        <v>1086.9565217391303</v>
      </c>
      <c r="P47" s="21">
        <f t="shared" si="27"/>
        <v>25</v>
      </c>
      <c r="Q47" s="21">
        <f t="shared" si="27"/>
        <v>25</v>
      </c>
      <c r="R47" s="21">
        <f t="shared" si="27"/>
        <v>25</v>
      </c>
      <c r="S47" s="21">
        <f t="shared" si="27"/>
        <v>25</v>
      </c>
      <c r="T47" s="156">
        <f t="shared" si="4"/>
        <v>104.61</v>
      </c>
      <c r="U47" s="156">
        <f t="shared" si="5"/>
        <v>187.5</v>
      </c>
      <c r="Y47" s="152"/>
    </row>
    <row r="48" spans="1:25" s="41" customFormat="1" ht="12.75">
      <c r="A48" s="5" t="s">
        <v>12</v>
      </c>
      <c r="B48" s="27" t="s">
        <v>48</v>
      </c>
      <c r="C48" s="5" t="s">
        <v>0</v>
      </c>
      <c r="D48" s="49">
        <v>0.7</v>
      </c>
      <c r="E48" s="21">
        <v>42</v>
      </c>
      <c r="F48" s="21">
        <v>9</v>
      </c>
      <c r="G48" s="21">
        <v>15</v>
      </c>
      <c r="H48" s="21">
        <v>7</v>
      </c>
      <c r="I48" s="21">
        <v>15</v>
      </c>
      <c r="J48" s="21">
        <v>3.2</v>
      </c>
      <c r="K48" s="21">
        <v>35.8</v>
      </c>
      <c r="L48" s="62">
        <f t="shared" si="2"/>
        <v>511.4285714285714</v>
      </c>
      <c r="M48" s="62">
        <f t="shared" si="3"/>
        <v>238.66666666666663</v>
      </c>
      <c r="N48" s="21">
        <v>36</v>
      </c>
      <c r="O48" s="155">
        <f t="shared" si="1"/>
        <v>100.5586592178771</v>
      </c>
      <c r="P48" s="21">
        <v>5</v>
      </c>
      <c r="Q48" s="21">
        <v>5</v>
      </c>
      <c r="R48" s="21">
        <v>5</v>
      </c>
      <c r="S48" s="21">
        <v>5</v>
      </c>
      <c r="T48" s="156">
        <f t="shared" si="4"/>
        <v>108.8</v>
      </c>
      <c r="U48" s="156">
        <f t="shared" si="5"/>
        <v>56</v>
      </c>
      <c r="Y48" s="152"/>
    </row>
    <row r="49" spans="1:25" s="160" customFormat="1" ht="12.75">
      <c r="A49" s="9" t="s">
        <v>3</v>
      </c>
      <c r="B49" s="28" t="s">
        <v>42</v>
      </c>
      <c r="C49" s="10" t="s">
        <v>55</v>
      </c>
      <c r="D49" s="49">
        <v>100</v>
      </c>
      <c r="E49" s="21">
        <v>89.4</v>
      </c>
      <c r="F49" s="21">
        <v>90</v>
      </c>
      <c r="G49" s="21">
        <v>90</v>
      </c>
      <c r="H49" s="21">
        <v>116</v>
      </c>
      <c r="I49" s="21">
        <v>100</v>
      </c>
      <c r="J49" s="21">
        <v>100</v>
      </c>
      <c r="K49" s="21">
        <v>100</v>
      </c>
      <c r="L49" s="62">
        <f t="shared" si="2"/>
        <v>86.20689655172413</v>
      </c>
      <c r="M49" s="62">
        <f t="shared" si="3"/>
        <v>100</v>
      </c>
      <c r="N49" s="21">
        <v>100</v>
      </c>
      <c r="O49" s="155">
        <f t="shared" si="1"/>
        <v>100</v>
      </c>
      <c r="P49" s="21">
        <v>100</v>
      </c>
      <c r="Q49" s="21">
        <v>100</v>
      </c>
      <c r="R49" s="21">
        <v>100</v>
      </c>
      <c r="S49" s="21">
        <v>100</v>
      </c>
      <c r="T49" s="156">
        <f t="shared" si="4"/>
        <v>485.4</v>
      </c>
      <c r="U49" s="156">
        <f t="shared" si="5"/>
        <v>500</v>
      </c>
      <c r="Y49" s="152"/>
    </row>
    <row r="50" spans="1:25" s="160" customFormat="1" ht="12.75">
      <c r="A50" s="9" t="s">
        <v>3</v>
      </c>
      <c r="B50" s="28" t="s">
        <v>57</v>
      </c>
      <c r="C50" s="10" t="s">
        <v>30</v>
      </c>
      <c r="D50" s="49">
        <f>D48*D49/10</f>
        <v>7</v>
      </c>
      <c r="E50" s="21">
        <f aca="true" t="shared" si="28" ref="E50:S50">E48*E49/10</f>
        <v>375.48</v>
      </c>
      <c r="F50" s="21">
        <f t="shared" si="28"/>
        <v>81</v>
      </c>
      <c r="G50" s="21">
        <f t="shared" si="28"/>
        <v>135</v>
      </c>
      <c r="H50" s="21">
        <f t="shared" si="28"/>
        <v>81.2</v>
      </c>
      <c r="I50" s="21">
        <f t="shared" si="28"/>
        <v>150</v>
      </c>
      <c r="J50" s="21">
        <f t="shared" si="28"/>
        <v>32</v>
      </c>
      <c r="K50" s="21">
        <f t="shared" si="28"/>
        <v>357.99999999999994</v>
      </c>
      <c r="L50" s="62">
        <f t="shared" si="2"/>
        <v>440.88669950738904</v>
      </c>
      <c r="M50" s="62">
        <f t="shared" si="3"/>
        <v>238.66666666666663</v>
      </c>
      <c r="N50" s="21">
        <f>N48*N49/10</f>
        <v>360</v>
      </c>
      <c r="O50" s="155">
        <f t="shared" si="1"/>
        <v>100.5586592178771</v>
      </c>
      <c r="P50" s="21">
        <f t="shared" si="28"/>
        <v>50</v>
      </c>
      <c r="Q50" s="21">
        <f t="shared" si="28"/>
        <v>50</v>
      </c>
      <c r="R50" s="21">
        <f t="shared" si="28"/>
        <v>50</v>
      </c>
      <c r="S50" s="21">
        <f t="shared" si="28"/>
        <v>50</v>
      </c>
      <c r="T50" s="156">
        <f t="shared" si="4"/>
        <v>1030.68</v>
      </c>
      <c r="U50" s="156">
        <f t="shared" si="5"/>
        <v>560</v>
      </c>
      <c r="Y50" s="152"/>
    </row>
    <row r="51" spans="1:25" s="42" customFormat="1" ht="12.75">
      <c r="A51" s="2" t="s">
        <v>52</v>
      </c>
      <c r="B51" s="3" t="s">
        <v>7</v>
      </c>
      <c r="C51" s="2" t="s">
        <v>0</v>
      </c>
      <c r="D51" s="53">
        <f>D52</f>
        <v>64.6</v>
      </c>
      <c r="E51" s="24">
        <f aca="true" t="shared" si="29" ref="E51:S51">E52+E55</f>
        <v>27</v>
      </c>
      <c r="F51" s="24">
        <f t="shared" si="29"/>
        <v>12.8</v>
      </c>
      <c r="G51" s="24">
        <f t="shared" si="29"/>
        <v>9</v>
      </c>
      <c r="H51" s="24">
        <f t="shared" si="29"/>
        <v>17</v>
      </c>
      <c r="I51" s="24">
        <f t="shared" si="29"/>
        <v>19</v>
      </c>
      <c r="J51" s="24">
        <f t="shared" si="29"/>
        <v>4</v>
      </c>
      <c r="K51" s="24">
        <f t="shared" si="29"/>
        <v>10</v>
      </c>
      <c r="L51" s="62">
        <f t="shared" si="2"/>
        <v>58.82352941176471</v>
      </c>
      <c r="M51" s="62">
        <f t="shared" si="3"/>
        <v>52.63157894736842</v>
      </c>
      <c r="N51" s="24">
        <f>N52+N55</f>
        <v>23</v>
      </c>
      <c r="O51" s="155">
        <f t="shared" si="1"/>
        <v>229.99999999999997</v>
      </c>
      <c r="P51" s="24">
        <f t="shared" si="29"/>
        <v>20</v>
      </c>
      <c r="Q51" s="24">
        <f t="shared" si="29"/>
        <v>20</v>
      </c>
      <c r="R51" s="24">
        <f t="shared" si="29"/>
        <v>20</v>
      </c>
      <c r="S51" s="24">
        <f t="shared" si="29"/>
        <v>20</v>
      </c>
      <c r="T51" s="156">
        <f t="shared" si="4"/>
        <v>75.8</v>
      </c>
      <c r="U51" s="156">
        <f t="shared" si="5"/>
        <v>103</v>
      </c>
      <c r="Y51" s="152"/>
    </row>
    <row r="52" spans="1:25" s="160" customFormat="1" ht="12.75">
      <c r="A52" s="5" t="s">
        <v>10</v>
      </c>
      <c r="B52" s="6" t="s">
        <v>41</v>
      </c>
      <c r="C52" s="5" t="s">
        <v>0</v>
      </c>
      <c r="D52" s="49">
        <v>64.6</v>
      </c>
      <c r="E52" s="21">
        <v>27</v>
      </c>
      <c r="F52" s="21">
        <v>12.8</v>
      </c>
      <c r="G52" s="21">
        <v>9</v>
      </c>
      <c r="H52" s="21">
        <v>17</v>
      </c>
      <c r="I52" s="21">
        <v>19</v>
      </c>
      <c r="J52" s="21"/>
      <c r="K52" s="21">
        <v>6</v>
      </c>
      <c r="L52" s="62">
        <f t="shared" si="2"/>
        <v>35.294117647058826</v>
      </c>
      <c r="M52" s="62">
        <f t="shared" si="3"/>
        <v>31.57894736842105</v>
      </c>
      <c r="N52" s="21">
        <v>19</v>
      </c>
      <c r="O52" s="155">
        <f t="shared" si="1"/>
        <v>316.66666666666663</v>
      </c>
      <c r="P52" s="21">
        <v>20</v>
      </c>
      <c r="Q52" s="21">
        <v>20</v>
      </c>
      <c r="R52" s="21">
        <v>20</v>
      </c>
      <c r="S52" s="21">
        <v>20</v>
      </c>
      <c r="T52" s="156">
        <f t="shared" si="4"/>
        <v>71.8</v>
      </c>
      <c r="U52" s="156">
        <f t="shared" si="5"/>
        <v>99</v>
      </c>
      <c r="Y52" s="152"/>
    </row>
    <row r="53" spans="1:25" s="160" customFormat="1" ht="12.75">
      <c r="A53" s="9" t="s">
        <v>3</v>
      </c>
      <c r="B53" s="14" t="s">
        <v>42</v>
      </c>
      <c r="C53" s="10" t="s">
        <v>55</v>
      </c>
      <c r="D53" s="49">
        <v>17.1</v>
      </c>
      <c r="E53" s="21">
        <v>20</v>
      </c>
      <c r="F53" s="21">
        <v>20</v>
      </c>
      <c r="G53" s="21">
        <v>20</v>
      </c>
      <c r="H53" s="21">
        <v>20</v>
      </c>
      <c r="I53" s="21">
        <v>21</v>
      </c>
      <c r="J53" s="21"/>
      <c r="K53" s="21">
        <v>20</v>
      </c>
      <c r="L53" s="62">
        <f t="shared" si="2"/>
        <v>100</v>
      </c>
      <c r="M53" s="62">
        <f t="shared" si="3"/>
        <v>95.23809523809523</v>
      </c>
      <c r="N53" s="21">
        <v>21</v>
      </c>
      <c r="O53" s="155">
        <f t="shared" si="1"/>
        <v>105</v>
      </c>
      <c r="P53" s="21">
        <v>20</v>
      </c>
      <c r="Q53" s="21">
        <v>20</v>
      </c>
      <c r="R53" s="21">
        <v>20</v>
      </c>
      <c r="S53" s="21">
        <v>20</v>
      </c>
      <c r="T53" s="156">
        <f t="shared" si="4"/>
        <v>100</v>
      </c>
      <c r="U53" s="156">
        <f t="shared" si="5"/>
        <v>101</v>
      </c>
      <c r="Y53" s="152"/>
    </row>
    <row r="54" spans="1:25" s="160" customFormat="1" ht="12.75">
      <c r="A54" s="9" t="s">
        <v>3</v>
      </c>
      <c r="B54" s="14" t="s">
        <v>57</v>
      </c>
      <c r="C54" s="10" t="s">
        <v>30</v>
      </c>
      <c r="D54" s="49">
        <f aca="true" t="shared" si="30" ref="D54:S54">D52*D53/10</f>
        <v>110.46600000000001</v>
      </c>
      <c r="E54" s="21">
        <f t="shared" si="30"/>
        <v>54</v>
      </c>
      <c r="F54" s="21">
        <f t="shared" si="30"/>
        <v>25.6</v>
      </c>
      <c r="G54" s="21">
        <f t="shared" si="30"/>
        <v>18</v>
      </c>
      <c r="H54" s="21">
        <f t="shared" si="30"/>
        <v>34</v>
      </c>
      <c r="I54" s="21">
        <f>I52*I53/10</f>
        <v>39.9</v>
      </c>
      <c r="J54" s="21"/>
      <c r="K54" s="21">
        <f t="shared" si="30"/>
        <v>12</v>
      </c>
      <c r="L54" s="62">
        <f t="shared" si="2"/>
        <v>35.294117647058826</v>
      </c>
      <c r="M54" s="62">
        <f t="shared" si="3"/>
        <v>30.075187969924812</v>
      </c>
      <c r="N54" s="21">
        <f>N52*N53/10</f>
        <v>39.9</v>
      </c>
      <c r="O54" s="155">
        <f t="shared" si="1"/>
        <v>332.5</v>
      </c>
      <c r="P54" s="21">
        <f t="shared" si="30"/>
        <v>40</v>
      </c>
      <c r="Q54" s="21">
        <f t="shared" si="30"/>
        <v>40</v>
      </c>
      <c r="R54" s="21">
        <f t="shared" si="30"/>
        <v>40</v>
      </c>
      <c r="S54" s="21">
        <f t="shared" si="30"/>
        <v>40</v>
      </c>
      <c r="T54" s="156">
        <f t="shared" si="4"/>
        <v>143.6</v>
      </c>
      <c r="U54" s="156">
        <f t="shared" si="5"/>
        <v>199.9</v>
      </c>
      <c r="Y54" s="152"/>
    </row>
    <row r="55" spans="1:25" s="160" customFormat="1" ht="12.75">
      <c r="A55" s="9" t="s">
        <v>11</v>
      </c>
      <c r="B55" s="14" t="s">
        <v>128</v>
      </c>
      <c r="C55" s="5" t="s">
        <v>0</v>
      </c>
      <c r="D55" s="49"/>
      <c r="E55" s="21"/>
      <c r="F55" s="21"/>
      <c r="G55" s="21"/>
      <c r="H55" s="21"/>
      <c r="I55" s="21"/>
      <c r="J55" s="21">
        <v>4</v>
      </c>
      <c r="K55" s="21">
        <v>4</v>
      </c>
      <c r="L55" s="62"/>
      <c r="M55" s="62"/>
      <c r="N55" s="21">
        <v>4</v>
      </c>
      <c r="O55" s="155">
        <f t="shared" si="1"/>
        <v>100</v>
      </c>
      <c r="P55" s="21"/>
      <c r="Q55" s="21"/>
      <c r="R55" s="21"/>
      <c r="S55" s="21"/>
      <c r="T55" s="156">
        <f t="shared" si="4"/>
        <v>4</v>
      </c>
      <c r="U55" s="156">
        <f t="shared" si="5"/>
        <v>4</v>
      </c>
      <c r="Y55" s="152"/>
    </row>
    <row r="56" spans="1:25" s="160" customFormat="1" ht="12.75">
      <c r="A56" s="9" t="s">
        <v>3</v>
      </c>
      <c r="B56" s="14" t="s">
        <v>42</v>
      </c>
      <c r="C56" s="10" t="s">
        <v>55</v>
      </c>
      <c r="D56" s="49"/>
      <c r="E56" s="21"/>
      <c r="F56" s="21"/>
      <c r="G56" s="21"/>
      <c r="H56" s="21"/>
      <c r="I56" s="21"/>
      <c r="J56" s="21"/>
      <c r="K56" s="21">
        <v>20</v>
      </c>
      <c r="L56" s="62"/>
      <c r="M56" s="62"/>
      <c r="N56" s="21">
        <v>20</v>
      </c>
      <c r="O56" s="155">
        <f t="shared" si="1"/>
        <v>100</v>
      </c>
      <c r="P56" s="21"/>
      <c r="Q56" s="21"/>
      <c r="R56" s="21"/>
      <c r="S56" s="21"/>
      <c r="T56" s="156">
        <f t="shared" si="4"/>
        <v>20</v>
      </c>
      <c r="U56" s="156">
        <f t="shared" si="5"/>
        <v>20</v>
      </c>
      <c r="Y56" s="152"/>
    </row>
    <row r="57" spans="1:25" s="160" customFormat="1" ht="12.75">
      <c r="A57" s="9" t="s">
        <v>3</v>
      </c>
      <c r="B57" s="14" t="s">
        <v>57</v>
      </c>
      <c r="C57" s="10" t="s">
        <v>30</v>
      </c>
      <c r="D57" s="49"/>
      <c r="E57" s="21"/>
      <c r="F57" s="21"/>
      <c r="G57" s="21"/>
      <c r="H57" s="21"/>
      <c r="I57" s="21"/>
      <c r="J57" s="21"/>
      <c r="K57" s="21">
        <f>K55*K56/10</f>
        <v>8</v>
      </c>
      <c r="L57" s="62"/>
      <c r="M57" s="62"/>
      <c r="N57" s="21">
        <f>N55*N56/10</f>
        <v>8</v>
      </c>
      <c r="O57" s="155">
        <f t="shared" si="1"/>
        <v>100</v>
      </c>
      <c r="P57" s="21"/>
      <c r="Q57" s="21"/>
      <c r="R57" s="21"/>
      <c r="S57" s="21"/>
      <c r="T57" s="156">
        <f t="shared" si="4"/>
        <v>8</v>
      </c>
      <c r="U57" s="156">
        <f t="shared" si="5"/>
        <v>8</v>
      </c>
      <c r="Y57" s="152"/>
    </row>
    <row r="58" spans="1:25" s="39" customFormat="1" ht="12.75">
      <c r="A58" s="2">
        <v>2</v>
      </c>
      <c r="B58" s="23" t="s">
        <v>44</v>
      </c>
      <c r="C58" s="2" t="s">
        <v>0</v>
      </c>
      <c r="D58" s="53">
        <f aca="true" t="shared" si="31" ref="D58:S58">D61+D122</f>
        <v>24746.6</v>
      </c>
      <c r="E58" s="24">
        <f t="shared" si="31"/>
        <v>25066.73</v>
      </c>
      <c r="F58" s="24">
        <f t="shared" si="31"/>
        <v>25563.199999999997</v>
      </c>
      <c r="G58" s="24">
        <f t="shared" si="31"/>
        <v>25685.539999999997</v>
      </c>
      <c r="H58" s="24">
        <f t="shared" si="31"/>
        <v>25775.240000000005</v>
      </c>
      <c r="I58" s="24">
        <f t="shared" si="31"/>
        <v>26055.2</v>
      </c>
      <c r="J58" s="24">
        <f>J61+J122</f>
        <v>25788.800000000003</v>
      </c>
      <c r="K58" s="24">
        <f t="shared" si="31"/>
        <v>25907.030000000002</v>
      </c>
      <c r="L58" s="62">
        <f t="shared" si="2"/>
        <v>100.51130464740578</v>
      </c>
      <c r="M58" s="62">
        <f t="shared" si="3"/>
        <v>99.43132273020358</v>
      </c>
      <c r="N58" s="24">
        <f>N61+N122</f>
        <v>26093.030000000002</v>
      </c>
      <c r="O58" s="155">
        <f t="shared" si="1"/>
        <v>100.71795184550294</v>
      </c>
      <c r="P58" s="24">
        <f t="shared" si="31"/>
        <v>25941.230000000003</v>
      </c>
      <c r="Q58" s="24">
        <f t="shared" si="31"/>
        <v>25972.230000000003</v>
      </c>
      <c r="R58" s="24">
        <f t="shared" si="31"/>
        <v>26004.130000000005</v>
      </c>
      <c r="S58" s="24">
        <f t="shared" si="31"/>
        <v>26069.230000000003</v>
      </c>
      <c r="T58" s="20">
        <f t="shared" si="4"/>
        <v>127997.73999999999</v>
      </c>
      <c r="U58" s="20">
        <f t="shared" si="5"/>
        <v>130079.85</v>
      </c>
      <c r="Y58" s="152"/>
    </row>
    <row r="59" spans="1:25" s="39" customFormat="1" ht="12.75">
      <c r="A59" s="2"/>
      <c r="B59" s="23" t="s">
        <v>100</v>
      </c>
      <c r="C59" s="2" t="s">
        <v>77</v>
      </c>
      <c r="D59" s="53">
        <f aca="true" t="shared" si="32" ref="D59:S60">D63+D74+D89+D100+D123+D136</f>
        <v>278.5461731</v>
      </c>
      <c r="E59" s="24">
        <f t="shared" si="32"/>
        <v>298.92242816000004</v>
      </c>
      <c r="F59" s="24">
        <f t="shared" si="32"/>
        <v>332.5615302</v>
      </c>
      <c r="G59" s="24">
        <f t="shared" si="32"/>
        <v>498.2886327100799</v>
      </c>
      <c r="H59" s="24">
        <f t="shared" si="32"/>
        <v>787.68299924525</v>
      </c>
      <c r="I59" s="24">
        <f t="shared" si="32"/>
        <v>773.0214954319999</v>
      </c>
      <c r="J59" s="24">
        <f>J63+J74+J89+J100+J123+J136</f>
        <v>310.07381999999996</v>
      </c>
      <c r="K59" s="24">
        <f t="shared" si="32"/>
        <v>800.2931704999999</v>
      </c>
      <c r="L59" s="62">
        <f t="shared" si="2"/>
        <v>101.60091956622558</v>
      </c>
      <c r="M59" s="62">
        <f t="shared" si="3"/>
        <v>103.52793230578396</v>
      </c>
      <c r="N59" s="24">
        <f>N63+N74+N89+N100+N123+N136</f>
        <v>1051.06478</v>
      </c>
      <c r="O59" s="155">
        <f t="shared" si="1"/>
        <v>131.33496807717668</v>
      </c>
      <c r="P59" s="24">
        <f t="shared" si="32"/>
        <v>1268.1770542</v>
      </c>
      <c r="Q59" s="24">
        <f t="shared" si="32"/>
        <v>1285.1100541999997</v>
      </c>
      <c r="R59" s="24">
        <f t="shared" si="32"/>
        <v>1306.4985541999997</v>
      </c>
      <c r="S59" s="24">
        <f>S63+S74+S89+S100+S123+S136</f>
        <v>1319.0755541999997</v>
      </c>
      <c r="T59" s="20">
        <f t="shared" si="4"/>
        <v>2717.7487608153297</v>
      </c>
      <c r="U59" s="20">
        <f t="shared" si="5"/>
        <v>6229.925996799999</v>
      </c>
      <c r="Y59" s="152"/>
    </row>
    <row r="60" spans="1:25" s="39" customFormat="1" ht="12.75">
      <c r="A60" s="2"/>
      <c r="B60" s="23" t="s">
        <v>121</v>
      </c>
      <c r="C60" s="2"/>
      <c r="D60" s="53">
        <f t="shared" si="32"/>
        <v>260.65129472</v>
      </c>
      <c r="E60" s="24">
        <f t="shared" si="32"/>
        <v>288.07563552</v>
      </c>
      <c r="F60" s="24">
        <f t="shared" si="32"/>
        <v>343.47467408</v>
      </c>
      <c r="G60" s="24">
        <f t="shared" si="32"/>
        <v>412.576152</v>
      </c>
      <c r="H60" s="24">
        <f t="shared" si="32"/>
        <v>479.50096063999996</v>
      </c>
      <c r="I60" s="24">
        <f t="shared" si="32"/>
        <v>627.6144598399998</v>
      </c>
      <c r="J60" s="24">
        <f>J64+J75+J90+J101+J124+J137</f>
        <v>498.2855728</v>
      </c>
      <c r="K60" s="24">
        <f t="shared" si="32"/>
        <v>500.13409968</v>
      </c>
      <c r="L60" s="62">
        <f t="shared" si="2"/>
        <v>104.30304435938157</v>
      </c>
      <c r="M60" s="62">
        <f t="shared" si="3"/>
        <v>79.6881097684558</v>
      </c>
      <c r="N60" s="24">
        <f>N64+N75+N90+N101+N124+N137</f>
        <v>629.8704759999999</v>
      </c>
      <c r="O60" s="155">
        <f t="shared" si="1"/>
        <v>125.94031808729078</v>
      </c>
      <c r="P60" s="24">
        <f t="shared" si="32"/>
        <v>746.4187032000001</v>
      </c>
      <c r="Q60" s="24">
        <f t="shared" si="32"/>
        <v>746.9063736000002</v>
      </c>
      <c r="R60" s="24">
        <f t="shared" si="32"/>
        <v>747.5223624000001</v>
      </c>
      <c r="S60" s="24">
        <f t="shared" si="32"/>
        <v>747.8845800000001</v>
      </c>
      <c r="T60" s="20">
        <f t="shared" si="4"/>
        <v>2023.7615219199997</v>
      </c>
      <c r="U60" s="20">
        <f t="shared" si="5"/>
        <v>3618.6024952000007</v>
      </c>
      <c r="Y60" s="152"/>
    </row>
    <row r="61" spans="1:25" s="39" customFormat="1" ht="13.5" customHeight="1">
      <c r="A61" s="2" t="s">
        <v>15</v>
      </c>
      <c r="B61" s="30" t="s">
        <v>9</v>
      </c>
      <c r="C61" s="2" t="s">
        <v>0</v>
      </c>
      <c r="D61" s="53">
        <f aca="true" t="shared" si="33" ref="D61:S61">D62+D73+D88+D99+D110+D116</f>
        <v>24721.67</v>
      </c>
      <c r="E61" s="24">
        <f t="shared" si="33"/>
        <v>25032.84</v>
      </c>
      <c r="F61" s="24">
        <f t="shared" si="33"/>
        <v>25491.199999999997</v>
      </c>
      <c r="G61" s="24">
        <f t="shared" si="33"/>
        <v>25605.539999999997</v>
      </c>
      <c r="H61" s="24">
        <f t="shared" si="33"/>
        <v>25693.240000000005</v>
      </c>
      <c r="I61" s="24">
        <f t="shared" si="33"/>
        <v>25935.2</v>
      </c>
      <c r="J61" s="24">
        <f>J62+J73+J88+J99+J110+J116</f>
        <v>25696.800000000003</v>
      </c>
      <c r="K61" s="24">
        <f t="shared" si="33"/>
        <v>25807.030000000002</v>
      </c>
      <c r="L61" s="62">
        <f t="shared" si="2"/>
        <v>100.44287913863724</v>
      </c>
      <c r="M61" s="62">
        <f t="shared" si="3"/>
        <v>99.50580677997472</v>
      </c>
      <c r="N61" s="24">
        <f>N62+N73+N88+N99+N110+N116</f>
        <v>25973.030000000002</v>
      </c>
      <c r="O61" s="155">
        <f t="shared" si="1"/>
        <v>100.6432355834825</v>
      </c>
      <c r="P61" s="24">
        <f t="shared" si="33"/>
        <v>25781.230000000003</v>
      </c>
      <c r="Q61" s="24">
        <f t="shared" si="33"/>
        <v>25792.230000000003</v>
      </c>
      <c r="R61" s="24">
        <f t="shared" si="33"/>
        <v>25804.130000000005</v>
      </c>
      <c r="S61" s="24">
        <f t="shared" si="33"/>
        <v>25819.230000000003</v>
      </c>
      <c r="T61" s="20">
        <f t="shared" si="4"/>
        <v>127629.84999999999</v>
      </c>
      <c r="U61" s="20">
        <f t="shared" si="5"/>
        <v>129169.85</v>
      </c>
      <c r="Y61" s="152"/>
    </row>
    <row r="62" spans="1:25" s="41" customFormat="1" ht="12.75">
      <c r="A62" s="5" t="s">
        <v>10</v>
      </c>
      <c r="B62" s="27" t="s">
        <v>34</v>
      </c>
      <c r="C62" s="5" t="s">
        <v>0</v>
      </c>
      <c r="D62" s="49">
        <f>D65+D67+D69</f>
        <v>17.5</v>
      </c>
      <c r="E62" s="21">
        <f>E65+E67+E69</f>
        <v>29.2</v>
      </c>
      <c r="F62" s="21">
        <f>F65+F67+F69</f>
        <v>73.3</v>
      </c>
      <c r="G62" s="21">
        <f>G65+G67+G69</f>
        <v>91.5</v>
      </c>
      <c r="H62" s="21">
        <f>H65+H67+H69</f>
        <v>90.7</v>
      </c>
      <c r="I62" s="21">
        <v>130</v>
      </c>
      <c r="J62" s="21">
        <v>87</v>
      </c>
      <c r="K62" s="21">
        <v>87</v>
      </c>
      <c r="L62" s="62">
        <f t="shared" si="2"/>
        <v>95.92061742006615</v>
      </c>
      <c r="M62" s="62">
        <f t="shared" si="3"/>
        <v>66.92307692307692</v>
      </c>
      <c r="N62" s="21">
        <v>130</v>
      </c>
      <c r="O62" s="155">
        <f t="shared" si="1"/>
        <v>149.42528735632183</v>
      </c>
      <c r="P62" s="21">
        <f>P65+P67+P69</f>
        <v>105</v>
      </c>
      <c r="Q62" s="21">
        <f>Q65+Q67+Q69</f>
        <v>110</v>
      </c>
      <c r="R62" s="21">
        <f>R65+R67+R69</f>
        <v>115</v>
      </c>
      <c r="S62" s="21">
        <f>S65+S67+S69</f>
        <v>120</v>
      </c>
      <c r="T62" s="156">
        <f t="shared" si="4"/>
        <v>371.7</v>
      </c>
      <c r="U62" s="156">
        <f t="shared" si="5"/>
        <v>580</v>
      </c>
      <c r="Y62" s="152"/>
    </row>
    <row r="63" spans="1:25" s="41" customFormat="1" ht="12.75">
      <c r="A63" s="5"/>
      <c r="B63" s="27" t="s">
        <v>84</v>
      </c>
      <c r="C63" s="5" t="s">
        <v>76</v>
      </c>
      <c r="D63" s="49">
        <f>D72+D66+D68</f>
        <v>0.5249999999999999</v>
      </c>
      <c r="E63" s="21">
        <f>E72+E66+E68</f>
        <v>0.876</v>
      </c>
      <c r="F63" s="21">
        <f aca="true" t="shared" si="34" ref="F63:S63">F72+F66+F68</f>
        <v>2.199</v>
      </c>
      <c r="G63" s="21">
        <f t="shared" si="34"/>
        <v>3.27</v>
      </c>
      <c r="H63" s="21">
        <f t="shared" si="34"/>
        <v>3.8598</v>
      </c>
      <c r="I63" s="21">
        <f t="shared" si="34"/>
        <v>7.185</v>
      </c>
      <c r="J63" s="21">
        <f>J72+J66+J68</f>
        <v>1.614</v>
      </c>
      <c r="K63" s="21">
        <f t="shared" si="34"/>
        <v>5.895</v>
      </c>
      <c r="L63" s="62">
        <f t="shared" si="2"/>
        <v>152.7281206280118</v>
      </c>
      <c r="M63" s="62">
        <f t="shared" si="3"/>
        <v>82.04592901878914</v>
      </c>
      <c r="N63" s="21">
        <f t="shared" si="34"/>
        <v>7.185</v>
      </c>
      <c r="O63" s="155">
        <f t="shared" si="1"/>
        <v>121.88295165394403</v>
      </c>
      <c r="P63" s="21">
        <f t="shared" si="34"/>
        <v>7.2315000000000005</v>
      </c>
      <c r="Q63" s="21">
        <f t="shared" si="34"/>
        <v>7.800000000000001</v>
      </c>
      <c r="R63" s="21">
        <f t="shared" si="34"/>
        <v>7.95</v>
      </c>
      <c r="S63" s="21">
        <f t="shared" si="34"/>
        <v>9.9</v>
      </c>
      <c r="T63" s="156">
        <f t="shared" si="4"/>
        <v>16.0998</v>
      </c>
      <c r="U63" s="156">
        <f t="shared" si="5"/>
        <v>40.066500000000005</v>
      </c>
      <c r="Y63" s="152"/>
    </row>
    <row r="64" spans="1:25" s="41" customFormat="1" ht="12.75">
      <c r="A64" s="5"/>
      <c r="B64" s="27" t="s">
        <v>122</v>
      </c>
      <c r="C64" s="5" t="s">
        <v>76</v>
      </c>
      <c r="D64" s="49">
        <f>D63*30%*9.6%</f>
        <v>0.015119999999999998</v>
      </c>
      <c r="E64" s="21">
        <f aca="true" t="shared" si="35" ref="E64:S64">E63*30%*9.6%</f>
        <v>0.0252288</v>
      </c>
      <c r="F64" s="21">
        <f t="shared" si="35"/>
        <v>0.06333119999999999</v>
      </c>
      <c r="G64" s="21">
        <f t="shared" si="35"/>
        <v>0.094176</v>
      </c>
      <c r="H64" s="21">
        <f t="shared" si="35"/>
        <v>0.11116224</v>
      </c>
      <c r="I64" s="21">
        <f>I63*30%*9.6%</f>
        <v>0.206928</v>
      </c>
      <c r="J64" s="21">
        <f>J63*30%*9.6%</f>
        <v>0.0464832</v>
      </c>
      <c r="K64" s="21">
        <f t="shared" si="35"/>
        <v>0.16977599999999998</v>
      </c>
      <c r="L64" s="62">
        <f t="shared" si="2"/>
        <v>152.7281206280118</v>
      </c>
      <c r="M64" s="62">
        <f t="shared" si="3"/>
        <v>82.04592901878914</v>
      </c>
      <c r="N64" s="21">
        <f>N63*30%*9.6%</f>
        <v>0.206928</v>
      </c>
      <c r="O64" s="155">
        <f t="shared" si="1"/>
        <v>121.88295165394403</v>
      </c>
      <c r="P64" s="21">
        <f t="shared" si="35"/>
        <v>0.20826719999999999</v>
      </c>
      <c r="Q64" s="21">
        <f t="shared" si="35"/>
        <v>0.22464000000000003</v>
      </c>
      <c r="R64" s="21">
        <f t="shared" si="35"/>
        <v>0.22896</v>
      </c>
      <c r="S64" s="21">
        <f t="shared" si="35"/>
        <v>0.28512000000000004</v>
      </c>
      <c r="T64" s="156">
        <f t="shared" si="4"/>
        <v>0.46367423999999996</v>
      </c>
      <c r="U64" s="156">
        <f t="shared" si="5"/>
        <v>1.1539152000000001</v>
      </c>
      <c r="Y64" s="152"/>
    </row>
    <row r="65" spans="1:25" s="41" customFormat="1" ht="15.75" customHeight="1">
      <c r="A65" s="9" t="s">
        <v>3</v>
      </c>
      <c r="B65" s="28" t="s">
        <v>80</v>
      </c>
      <c r="C65" s="10" t="s">
        <v>0</v>
      </c>
      <c r="D65" s="49">
        <v>9.5</v>
      </c>
      <c r="E65" s="21">
        <v>11.7</v>
      </c>
      <c r="F65" s="21">
        <v>44.1</v>
      </c>
      <c r="G65" s="21">
        <f>91.5-73.3</f>
        <v>18.200000000000003</v>
      </c>
      <c r="H65" s="21"/>
      <c r="I65" s="21">
        <v>10</v>
      </c>
      <c r="J65" s="21">
        <v>0</v>
      </c>
      <c r="K65" s="21">
        <v>0</v>
      </c>
      <c r="L65" s="62"/>
      <c r="M65" s="62">
        <f t="shared" si="3"/>
        <v>0</v>
      </c>
      <c r="N65" s="21">
        <v>10</v>
      </c>
      <c r="O65" s="155"/>
      <c r="P65" s="21">
        <v>5</v>
      </c>
      <c r="Q65" s="21">
        <v>5</v>
      </c>
      <c r="R65" s="21">
        <v>5</v>
      </c>
      <c r="S65" s="21">
        <v>5</v>
      </c>
      <c r="T65" s="156">
        <f t="shared" si="4"/>
        <v>74</v>
      </c>
      <c r="U65" s="156">
        <f t="shared" si="5"/>
        <v>30</v>
      </c>
      <c r="Y65" s="152"/>
    </row>
    <row r="66" spans="1:25" s="41" customFormat="1" ht="15.75" customHeight="1">
      <c r="A66" s="9"/>
      <c r="B66" s="28" t="s">
        <v>81</v>
      </c>
      <c r="C66" s="10" t="s">
        <v>77</v>
      </c>
      <c r="D66" s="49">
        <f>D65*30/1000</f>
        <v>0.285</v>
      </c>
      <c r="E66" s="21">
        <f aca="true" t="shared" si="36" ref="E66:S66">E65*30/1000</f>
        <v>0.351</v>
      </c>
      <c r="F66" s="21">
        <f t="shared" si="36"/>
        <v>1.323</v>
      </c>
      <c r="G66" s="21">
        <f t="shared" si="36"/>
        <v>0.5460000000000002</v>
      </c>
      <c r="H66" s="21">
        <f t="shared" si="36"/>
        <v>0</v>
      </c>
      <c r="I66" s="21">
        <f t="shared" si="36"/>
        <v>0.3</v>
      </c>
      <c r="J66" s="21">
        <f t="shared" si="36"/>
        <v>0</v>
      </c>
      <c r="K66" s="21">
        <f t="shared" si="36"/>
        <v>0</v>
      </c>
      <c r="L66" s="62"/>
      <c r="M66" s="62">
        <f t="shared" si="3"/>
        <v>0</v>
      </c>
      <c r="N66" s="21">
        <f>N65*30/1000</f>
        <v>0.3</v>
      </c>
      <c r="O66" s="155"/>
      <c r="P66" s="21">
        <f t="shared" si="36"/>
        <v>0.15</v>
      </c>
      <c r="Q66" s="21">
        <f t="shared" si="36"/>
        <v>0.15</v>
      </c>
      <c r="R66" s="21">
        <f t="shared" si="36"/>
        <v>0.15</v>
      </c>
      <c r="S66" s="21">
        <f t="shared" si="36"/>
        <v>0.15</v>
      </c>
      <c r="T66" s="156">
        <f t="shared" si="4"/>
        <v>2.22</v>
      </c>
      <c r="U66" s="156">
        <f t="shared" si="5"/>
        <v>0.8999999999999999</v>
      </c>
      <c r="Y66" s="152"/>
    </row>
    <row r="67" spans="1:25" s="41" customFormat="1" ht="15.75" customHeight="1">
      <c r="A67" s="9" t="s">
        <v>3</v>
      </c>
      <c r="B67" s="28" t="s">
        <v>82</v>
      </c>
      <c r="C67" s="10" t="s">
        <v>0</v>
      </c>
      <c r="D67" s="49">
        <v>8</v>
      </c>
      <c r="E67" s="21">
        <v>17.5</v>
      </c>
      <c r="F67" s="21">
        <v>21.2</v>
      </c>
      <c r="G67" s="21">
        <f>91.5-18.2-17.5</f>
        <v>55.8</v>
      </c>
      <c r="H67" s="21">
        <f>90.7-29.2</f>
        <v>61.5</v>
      </c>
      <c r="I67" s="21">
        <f>I62-I65-I69</f>
        <v>47</v>
      </c>
      <c r="J67" s="167">
        <f>J62-J69</f>
        <v>53.8</v>
      </c>
      <c r="K67" s="21">
        <v>14</v>
      </c>
      <c r="L67" s="62">
        <f t="shared" si="2"/>
        <v>22.76422764227642</v>
      </c>
      <c r="M67" s="62">
        <f t="shared" si="3"/>
        <v>29.78723404255319</v>
      </c>
      <c r="N67" s="21">
        <f>N62-N65-N69</f>
        <v>47</v>
      </c>
      <c r="O67" s="155">
        <f t="shared" si="1"/>
        <v>335.7142857142857</v>
      </c>
      <c r="P67" s="21">
        <f>100-90.7</f>
        <v>9.299999999999997</v>
      </c>
      <c r="Q67" s="21">
        <f>110-100-5</f>
        <v>5</v>
      </c>
      <c r="R67" s="21">
        <f>115-5-100</f>
        <v>10</v>
      </c>
      <c r="S67" s="21">
        <f>120-5-105</f>
        <v>10</v>
      </c>
      <c r="T67" s="156">
        <f t="shared" si="4"/>
        <v>170</v>
      </c>
      <c r="U67" s="156">
        <f t="shared" si="5"/>
        <v>81.3</v>
      </c>
      <c r="Y67" s="152"/>
    </row>
    <row r="68" spans="1:25" s="41" customFormat="1" ht="15.75" customHeight="1">
      <c r="A68" s="9"/>
      <c r="B68" s="28" t="s">
        <v>83</v>
      </c>
      <c r="C68" s="10" t="s">
        <v>77</v>
      </c>
      <c r="D68" s="49">
        <f aca="true" t="shared" si="37" ref="D68:R68">D67*30/1000</f>
        <v>0.24</v>
      </c>
      <c r="E68" s="21">
        <f t="shared" si="37"/>
        <v>0.525</v>
      </c>
      <c r="F68" s="21">
        <f t="shared" si="37"/>
        <v>0.636</v>
      </c>
      <c r="G68" s="21">
        <f t="shared" si="37"/>
        <v>1.674</v>
      </c>
      <c r="H68" s="21">
        <f t="shared" si="37"/>
        <v>1.845</v>
      </c>
      <c r="I68" s="21">
        <f t="shared" si="37"/>
        <v>1.41</v>
      </c>
      <c r="J68" s="21">
        <f t="shared" si="37"/>
        <v>1.614</v>
      </c>
      <c r="K68" s="21">
        <f t="shared" si="37"/>
        <v>0.42</v>
      </c>
      <c r="L68" s="62">
        <f t="shared" si="2"/>
        <v>22.76422764227642</v>
      </c>
      <c r="M68" s="62">
        <f t="shared" si="3"/>
        <v>29.78723404255319</v>
      </c>
      <c r="N68" s="21">
        <f t="shared" si="37"/>
        <v>1.41</v>
      </c>
      <c r="O68" s="155">
        <f t="shared" si="1"/>
        <v>335.7142857142857</v>
      </c>
      <c r="P68" s="21">
        <f t="shared" si="37"/>
        <v>0.27899999999999986</v>
      </c>
      <c r="Q68" s="21">
        <f t="shared" si="37"/>
        <v>0.15</v>
      </c>
      <c r="R68" s="21">
        <f t="shared" si="37"/>
        <v>0.3</v>
      </c>
      <c r="S68" s="21">
        <f>S67*30/1000</f>
        <v>0.3</v>
      </c>
      <c r="T68" s="156">
        <f t="shared" si="4"/>
        <v>5.1</v>
      </c>
      <c r="U68" s="156">
        <f t="shared" si="5"/>
        <v>2.439</v>
      </c>
      <c r="Y68" s="152"/>
    </row>
    <row r="69" spans="1:25" s="41" customFormat="1" ht="12.75">
      <c r="A69" s="9" t="s">
        <v>3</v>
      </c>
      <c r="B69" s="28" t="s">
        <v>63</v>
      </c>
      <c r="C69" s="10" t="s">
        <v>0</v>
      </c>
      <c r="D69" s="49"/>
      <c r="E69" s="21"/>
      <c r="F69" s="21">
        <v>8</v>
      </c>
      <c r="G69" s="21">
        <v>17.5</v>
      </c>
      <c r="H69" s="21">
        <v>29.2</v>
      </c>
      <c r="I69" s="21">
        <v>73</v>
      </c>
      <c r="J69" s="21">
        <v>33.2</v>
      </c>
      <c r="K69" s="44">
        <v>73</v>
      </c>
      <c r="L69" s="62">
        <f t="shared" si="2"/>
        <v>250</v>
      </c>
      <c r="M69" s="62">
        <f t="shared" si="3"/>
        <v>100</v>
      </c>
      <c r="N69" s="21">
        <v>73</v>
      </c>
      <c r="O69" s="155">
        <f t="shared" si="1"/>
        <v>100</v>
      </c>
      <c r="P69" s="44">
        <v>90.7</v>
      </c>
      <c r="Q69" s="44">
        <v>100</v>
      </c>
      <c r="R69" s="44">
        <v>100</v>
      </c>
      <c r="S69" s="44">
        <v>105</v>
      </c>
      <c r="T69" s="156">
        <f t="shared" si="4"/>
        <v>127.7</v>
      </c>
      <c r="U69" s="156">
        <f t="shared" si="5"/>
        <v>468.7</v>
      </c>
      <c r="Y69" s="152"/>
    </row>
    <row r="70" spans="1:25" s="41" customFormat="1" ht="12.75">
      <c r="A70" s="9"/>
      <c r="B70" s="28" t="s">
        <v>42</v>
      </c>
      <c r="C70" s="10" t="s">
        <v>55</v>
      </c>
      <c r="D70" s="49"/>
      <c r="E70" s="21"/>
      <c r="F70" s="21">
        <v>10</v>
      </c>
      <c r="G70" s="21">
        <v>20</v>
      </c>
      <c r="H70" s="21">
        <v>23</v>
      </c>
      <c r="I70" s="21">
        <v>25</v>
      </c>
      <c r="J70" s="21"/>
      <c r="K70" s="44">
        <v>25</v>
      </c>
      <c r="L70" s="62">
        <f t="shared" si="2"/>
        <v>108.69565217391303</v>
      </c>
      <c r="M70" s="62">
        <f t="shared" si="3"/>
        <v>100</v>
      </c>
      <c r="N70" s="21">
        <v>25</v>
      </c>
      <c r="O70" s="155">
        <f aca="true" t="shared" si="38" ref="O70:O132">N70/K70*100</f>
        <v>100</v>
      </c>
      <c r="P70" s="44">
        <v>25</v>
      </c>
      <c r="Q70" s="44">
        <v>25</v>
      </c>
      <c r="R70" s="44">
        <v>25</v>
      </c>
      <c r="S70" s="44">
        <v>30</v>
      </c>
      <c r="T70" s="156">
        <f t="shared" si="4"/>
        <v>78</v>
      </c>
      <c r="U70" s="156">
        <f t="shared" si="5"/>
        <v>130</v>
      </c>
      <c r="Y70" s="152"/>
    </row>
    <row r="71" spans="1:25" s="41" customFormat="1" ht="15.75" customHeight="1">
      <c r="A71" s="9"/>
      <c r="B71" s="28" t="s">
        <v>57</v>
      </c>
      <c r="C71" s="10" t="s">
        <v>30</v>
      </c>
      <c r="D71" s="49"/>
      <c r="E71" s="21"/>
      <c r="F71" s="21">
        <f>F69*F70/10</f>
        <v>8</v>
      </c>
      <c r="G71" s="44">
        <f>G69*G70/10</f>
        <v>35</v>
      </c>
      <c r="H71" s="44">
        <f>H69*H70/10</f>
        <v>67.16</v>
      </c>
      <c r="I71" s="44">
        <f>I69*I70/10</f>
        <v>182.5</v>
      </c>
      <c r="J71" s="44"/>
      <c r="K71" s="44">
        <f>K69*K70/10</f>
        <v>182.5</v>
      </c>
      <c r="L71" s="62">
        <f aca="true" t="shared" si="39" ref="L71:L132">K71/H71*100</f>
        <v>271.7391304347826</v>
      </c>
      <c r="M71" s="62">
        <f aca="true" t="shared" si="40" ref="M71:M132">K71/I71*100</f>
        <v>100</v>
      </c>
      <c r="N71" s="44">
        <f>N69*N70/10</f>
        <v>182.5</v>
      </c>
      <c r="O71" s="155">
        <f t="shared" si="38"/>
        <v>100</v>
      </c>
      <c r="P71" s="44">
        <f>P69*P70/10</f>
        <v>226.75</v>
      </c>
      <c r="Q71" s="44">
        <f>Q69*Q70/10</f>
        <v>250</v>
      </c>
      <c r="R71" s="44">
        <f>R69*R70/10</f>
        <v>250</v>
      </c>
      <c r="S71" s="44">
        <f>S69*S70/10</f>
        <v>315</v>
      </c>
      <c r="T71" s="156">
        <f aca="true" t="shared" si="41" ref="T71:T134">SUM(E71:H71)+K71</f>
        <v>292.65999999999997</v>
      </c>
      <c r="U71" s="156">
        <f aca="true" t="shared" si="42" ref="U71:U134">N71+SUM(P71:S71)</f>
        <v>1224.25</v>
      </c>
      <c r="Y71" s="152"/>
    </row>
    <row r="72" spans="1:25" s="41" customFormat="1" ht="15.75" customHeight="1">
      <c r="A72" s="9"/>
      <c r="B72" s="28" t="s">
        <v>79</v>
      </c>
      <c r="C72" s="10" t="s">
        <v>77</v>
      </c>
      <c r="D72" s="49">
        <f aca="true" t="shared" si="43" ref="D72:S72">D71*30/1000</f>
        <v>0</v>
      </c>
      <c r="E72" s="21">
        <f t="shared" si="43"/>
        <v>0</v>
      </c>
      <c r="F72" s="21">
        <f t="shared" si="43"/>
        <v>0.24</v>
      </c>
      <c r="G72" s="21">
        <f t="shared" si="43"/>
        <v>1.05</v>
      </c>
      <c r="H72" s="21">
        <f t="shared" si="43"/>
        <v>2.0148</v>
      </c>
      <c r="I72" s="21">
        <f t="shared" si="43"/>
        <v>5.475</v>
      </c>
      <c r="J72" s="21"/>
      <c r="K72" s="21">
        <f t="shared" si="43"/>
        <v>5.475</v>
      </c>
      <c r="L72" s="62">
        <f t="shared" si="39"/>
        <v>271.73913043478257</v>
      </c>
      <c r="M72" s="62">
        <f t="shared" si="40"/>
        <v>100</v>
      </c>
      <c r="N72" s="21">
        <f t="shared" si="43"/>
        <v>5.475</v>
      </c>
      <c r="O72" s="155">
        <f t="shared" si="38"/>
        <v>100</v>
      </c>
      <c r="P72" s="21">
        <f t="shared" si="43"/>
        <v>6.8025</v>
      </c>
      <c r="Q72" s="21">
        <f t="shared" si="43"/>
        <v>7.5</v>
      </c>
      <c r="R72" s="21">
        <f t="shared" si="43"/>
        <v>7.5</v>
      </c>
      <c r="S72" s="21">
        <f t="shared" si="43"/>
        <v>9.45</v>
      </c>
      <c r="T72" s="156">
        <f t="shared" si="41"/>
        <v>8.7798</v>
      </c>
      <c r="U72" s="156">
        <f t="shared" si="42"/>
        <v>36.7275</v>
      </c>
      <c r="Y72" s="152"/>
    </row>
    <row r="73" spans="1:25" s="41" customFormat="1" ht="12.75">
      <c r="A73" s="5" t="s">
        <v>11</v>
      </c>
      <c r="B73" s="27" t="s">
        <v>35</v>
      </c>
      <c r="C73" s="5" t="s">
        <v>0</v>
      </c>
      <c r="D73" s="49">
        <f>D76+D79+D82</f>
        <v>24506.67</v>
      </c>
      <c r="E73" s="21">
        <f>E76+E79+E82</f>
        <v>24719.74</v>
      </c>
      <c r="F73" s="21">
        <f>F76+F79+F82</f>
        <v>24719.8</v>
      </c>
      <c r="G73" s="21">
        <f>G76+G79+G82</f>
        <v>24719.739999999998</v>
      </c>
      <c r="H73" s="21">
        <f>H76+H79+H82</f>
        <v>24719.74</v>
      </c>
      <c r="I73" s="21">
        <v>24720</v>
      </c>
      <c r="J73" s="21">
        <v>24719.7</v>
      </c>
      <c r="K73" s="21">
        <v>24774.83</v>
      </c>
      <c r="L73" s="62">
        <f t="shared" si="39"/>
        <v>100.22285833103423</v>
      </c>
      <c r="M73" s="62">
        <f t="shared" si="40"/>
        <v>100.22180420711975</v>
      </c>
      <c r="N73" s="21">
        <v>24774.83</v>
      </c>
      <c r="O73" s="155">
        <f t="shared" si="38"/>
        <v>100</v>
      </c>
      <c r="P73" s="21">
        <v>24774.83</v>
      </c>
      <c r="Q73" s="21">
        <v>24774.83</v>
      </c>
      <c r="R73" s="21">
        <v>24774.83</v>
      </c>
      <c r="S73" s="21">
        <v>24774.83</v>
      </c>
      <c r="T73" s="156">
        <f t="shared" si="41"/>
        <v>123653.85</v>
      </c>
      <c r="U73" s="156">
        <f t="shared" si="42"/>
        <v>123874.15000000001</v>
      </c>
      <c r="Y73" s="152"/>
    </row>
    <row r="74" spans="1:25" s="41" customFormat="1" ht="12.75">
      <c r="A74" s="5"/>
      <c r="B74" s="27" t="s">
        <v>85</v>
      </c>
      <c r="C74" s="5" t="s">
        <v>77</v>
      </c>
      <c r="D74" s="49">
        <f aca="true" t="shared" si="44" ref="D74:S74">D77+D86+D80</f>
        <v>271.6505231</v>
      </c>
      <c r="E74" s="21">
        <f t="shared" si="44"/>
        <v>293.69202816000006</v>
      </c>
      <c r="F74" s="21">
        <f t="shared" si="44"/>
        <v>313.0936802</v>
      </c>
      <c r="G74" s="21">
        <f t="shared" si="44"/>
        <v>479.74863271007996</v>
      </c>
      <c r="H74" s="21">
        <f t="shared" si="44"/>
        <v>751.51769924525</v>
      </c>
      <c r="I74" s="21">
        <f>I77+I86+I80</f>
        <v>725.297195432</v>
      </c>
      <c r="J74" s="21">
        <f>J77+J86+J80</f>
        <v>307.69282</v>
      </c>
      <c r="K74" s="21">
        <f>K77+K86+K80</f>
        <v>752.8695704999999</v>
      </c>
      <c r="L74" s="62">
        <f t="shared" si="39"/>
        <v>100.17988548454781</v>
      </c>
      <c r="M74" s="62">
        <f t="shared" si="40"/>
        <v>103.80152787597328</v>
      </c>
      <c r="N74" s="21">
        <f>N77+N86+N80</f>
        <v>944.04478</v>
      </c>
      <c r="O74" s="155">
        <f t="shared" si="38"/>
        <v>125.39287241653767</v>
      </c>
      <c r="P74" s="21">
        <f t="shared" si="44"/>
        <v>1157.9755541999998</v>
      </c>
      <c r="Q74" s="21">
        <f t="shared" si="44"/>
        <v>1157.9755541999998</v>
      </c>
      <c r="R74" s="21">
        <f t="shared" si="44"/>
        <v>1157.9755541999998</v>
      </c>
      <c r="S74" s="21">
        <f t="shared" si="44"/>
        <v>1157.9755541999998</v>
      </c>
      <c r="T74" s="156">
        <f t="shared" si="41"/>
        <v>2590.92161081533</v>
      </c>
      <c r="U74" s="156">
        <f t="shared" si="42"/>
        <v>5575.946996799999</v>
      </c>
      <c r="Y74" s="152"/>
    </row>
    <row r="75" spans="1:25" s="41" customFormat="1" ht="12.75">
      <c r="A75" s="5"/>
      <c r="B75" s="27" t="s">
        <v>122</v>
      </c>
      <c r="C75" s="5" t="s">
        <v>77</v>
      </c>
      <c r="D75" s="49">
        <f>D78+D81+D87</f>
        <v>260.4527</v>
      </c>
      <c r="E75" s="21">
        <f aca="true" t="shared" si="45" ref="E75:R75">E78+E81+E87</f>
        <v>287.925</v>
      </c>
      <c r="F75" s="21">
        <f t="shared" si="45"/>
        <v>342.914</v>
      </c>
      <c r="G75" s="21">
        <f t="shared" si="45"/>
        <v>412.0422</v>
      </c>
      <c r="H75" s="21">
        <f t="shared" si="45"/>
        <v>478.45939999999996</v>
      </c>
      <c r="I75" s="21">
        <f t="shared" si="45"/>
        <v>626.2399999999999</v>
      </c>
      <c r="J75" s="21">
        <f t="shared" si="45"/>
        <v>498.217</v>
      </c>
      <c r="K75" s="21">
        <f t="shared" si="45"/>
        <v>498.7683</v>
      </c>
      <c r="L75" s="62">
        <f t="shared" si="39"/>
        <v>104.24464437316941</v>
      </c>
      <c r="M75" s="62">
        <f t="shared" si="40"/>
        <v>79.64491249361268</v>
      </c>
      <c r="N75" s="21">
        <f t="shared" si="45"/>
        <v>626.7882999999999</v>
      </c>
      <c r="O75" s="155">
        <f t="shared" si="38"/>
        <v>125.66722865105899</v>
      </c>
      <c r="P75" s="21">
        <f t="shared" si="45"/>
        <v>743.2449</v>
      </c>
      <c r="Q75" s="21">
        <f t="shared" si="45"/>
        <v>743.2449</v>
      </c>
      <c r="R75" s="21">
        <f t="shared" si="45"/>
        <v>743.2449</v>
      </c>
      <c r="S75" s="21">
        <f>S78+S81+S87</f>
        <v>743.2449</v>
      </c>
      <c r="T75" s="156">
        <f t="shared" si="41"/>
        <v>2020.1088999999997</v>
      </c>
      <c r="U75" s="156">
        <f t="shared" si="42"/>
        <v>3599.7679</v>
      </c>
      <c r="Y75" s="152"/>
    </row>
    <row r="76" spans="1:25" s="41" customFormat="1" ht="12.75">
      <c r="A76" s="5" t="s">
        <v>3</v>
      </c>
      <c r="B76" s="27" t="s">
        <v>80</v>
      </c>
      <c r="C76" s="5" t="s">
        <v>39</v>
      </c>
      <c r="D76" s="49">
        <v>215</v>
      </c>
      <c r="E76" s="21"/>
      <c r="F76" s="21"/>
      <c r="G76" s="21"/>
      <c r="H76" s="21"/>
      <c r="I76" s="21"/>
      <c r="J76" s="21"/>
      <c r="K76" s="21"/>
      <c r="L76" s="62"/>
      <c r="M76" s="62"/>
      <c r="N76" s="21"/>
      <c r="O76" s="155"/>
      <c r="P76" s="21"/>
      <c r="Q76" s="21"/>
      <c r="R76" s="21"/>
      <c r="S76" s="21"/>
      <c r="T76" s="156">
        <f t="shared" si="41"/>
        <v>0</v>
      </c>
      <c r="U76" s="156">
        <f t="shared" si="42"/>
        <v>0</v>
      </c>
      <c r="Y76" s="152"/>
    </row>
    <row r="77" spans="1:25" s="41" customFormat="1" ht="12.75">
      <c r="A77" s="5"/>
      <c r="B77" s="27" t="s">
        <v>93</v>
      </c>
      <c r="C77" s="5" t="s">
        <v>77</v>
      </c>
      <c r="D77" s="49">
        <f>D76*44/1000</f>
        <v>9.46</v>
      </c>
      <c r="E77" s="21">
        <f aca="true" t="shared" si="46" ref="E77:S77">E76*44/1000</f>
        <v>0</v>
      </c>
      <c r="F77" s="21">
        <f t="shared" si="46"/>
        <v>0</v>
      </c>
      <c r="G77" s="21">
        <f t="shared" si="46"/>
        <v>0</v>
      </c>
      <c r="H77" s="21"/>
      <c r="I77" s="21"/>
      <c r="J77" s="21"/>
      <c r="K77" s="21"/>
      <c r="L77" s="62"/>
      <c r="M77" s="62"/>
      <c r="N77" s="21"/>
      <c r="O77" s="155"/>
      <c r="P77" s="21">
        <f t="shared" si="46"/>
        <v>0</v>
      </c>
      <c r="Q77" s="21">
        <f t="shared" si="46"/>
        <v>0</v>
      </c>
      <c r="R77" s="21">
        <f t="shared" si="46"/>
        <v>0</v>
      </c>
      <c r="S77" s="21">
        <f t="shared" si="46"/>
        <v>0</v>
      </c>
      <c r="T77" s="156">
        <f t="shared" si="41"/>
        <v>0</v>
      </c>
      <c r="U77" s="156">
        <f t="shared" si="42"/>
        <v>0</v>
      </c>
      <c r="Y77" s="152"/>
    </row>
    <row r="78" spans="1:25" s="41" customFormat="1" ht="12.75">
      <c r="A78" s="5"/>
      <c r="B78" s="27" t="s">
        <v>122</v>
      </c>
      <c r="C78" s="5" t="s">
        <v>77</v>
      </c>
      <c r="D78" s="49">
        <f>D76*14/1000</f>
        <v>3.01</v>
      </c>
      <c r="E78" s="21">
        <f aca="true" t="shared" si="47" ref="E78:S78">E76*14/1000</f>
        <v>0</v>
      </c>
      <c r="F78" s="21">
        <f t="shared" si="47"/>
        <v>0</v>
      </c>
      <c r="G78" s="21">
        <f t="shared" si="47"/>
        <v>0</v>
      </c>
      <c r="H78" s="21"/>
      <c r="I78" s="21"/>
      <c r="J78" s="21"/>
      <c r="K78" s="21"/>
      <c r="L78" s="62"/>
      <c r="M78" s="62"/>
      <c r="N78" s="21"/>
      <c r="O78" s="155"/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156">
        <f t="shared" si="41"/>
        <v>0</v>
      </c>
      <c r="U78" s="156">
        <f t="shared" si="42"/>
        <v>0</v>
      </c>
      <c r="Y78" s="152"/>
    </row>
    <row r="79" spans="1:25" s="170" customFormat="1" ht="12.75">
      <c r="A79" s="168" t="s">
        <v>3</v>
      </c>
      <c r="B79" s="28" t="s">
        <v>82</v>
      </c>
      <c r="C79" s="169" t="s">
        <v>0</v>
      </c>
      <c r="D79" s="161">
        <v>23565.37</v>
      </c>
      <c r="E79" s="19">
        <v>22683.36</v>
      </c>
      <c r="F79" s="19">
        <v>19934</v>
      </c>
      <c r="G79" s="19">
        <v>16477.5</v>
      </c>
      <c r="H79" s="19">
        <v>13156.640000000001</v>
      </c>
      <c r="I79" s="19">
        <f>I73-I82</f>
        <v>5768</v>
      </c>
      <c r="J79" s="19">
        <f>J73-J82</f>
        <v>12168.7</v>
      </c>
      <c r="K79" s="19">
        <f>K73-K82</f>
        <v>12223.830000000002</v>
      </c>
      <c r="L79" s="62">
        <f t="shared" si="39"/>
        <v>92.90996789453843</v>
      </c>
      <c r="M79" s="62">
        <f t="shared" si="40"/>
        <v>211.92493065187242</v>
      </c>
      <c r="N79" s="19">
        <f>N73-N82</f>
        <v>5822.830000000002</v>
      </c>
      <c r="O79" s="155">
        <f t="shared" si="38"/>
        <v>47.63507018667636</v>
      </c>
      <c r="P79" s="19"/>
      <c r="Q79" s="19"/>
      <c r="R79" s="19"/>
      <c r="S79" s="19">
        <v>0</v>
      </c>
      <c r="T79" s="156">
        <f t="shared" si="41"/>
        <v>84475.33</v>
      </c>
      <c r="U79" s="156">
        <f t="shared" si="42"/>
        <v>5822.830000000002</v>
      </c>
      <c r="Y79" s="152"/>
    </row>
    <row r="80" spans="1:25" s="170" customFormat="1" ht="12.75">
      <c r="A80" s="168"/>
      <c r="B80" s="28" t="s">
        <v>83</v>
      </c>
      <c r="C80" s="10" t="s">
        <v>77</v>
      </c>
      <c r="D80" s="161">
        <f>D79*10/1000</f>
        <v>235.6537</v>
      </c>
      <c r="E80" s="19">
        <f>E79*10/1000</f>
        <v>226.83360000000002</v>
      </c>
      <c r="F80" s="19">
        <f aca="true" t="shared" si="48" ref="F80:S80">F79*10/1000</f>
        <v>199.34</v>
      </c>
      <c r="G80" s="19">
        <f t="shared" si="48"/>
        <v>164.775</v>
      </c>
      <c r="H80" s="19">
        <f t="shared" si="48"/>
        <v>131.56640000000002</v>
      </c>
      <c r="I80" s="19">
        <f t="shared" si="48"/>
        <v>57.68</v>
      </c>
      <c r="J80" s="19">
        <f t="shared" si="48"/>
        <v>121.687</v>
      </c>
      <c r="K80" s="19">
        <f t="shared" si="48"/>
        <v>122.23830000000002</v>
      </c>
      <c r="L80" s="62">
        <f t="shared" si="39"/>
        <v>92.90996789453843</v>
      </c>
      <c r="M80" s="62">
        <f t="shared" si="40"/>
        <v>211.92493065187244</v>
      </c>
      <c r="N80" s="19">
        <f t="shared" si="48"/>
        <v>58.22830000000002</v>
      </c>
      <c r="O80" s="155">
        <f t="shared" si="38"/>
        <v>47.63507018667636</v>
      </c>
      <c r="P80" s="19">
        <f t="shared" si="48"/>
        <v>0</v>
      </c>
      <c r="Q80" s="19">
        <f t="shared" si="48"/>
        <v>0</v>
      </c>
      <c r="R80" s="19">
        <f t="shared" si="48"/>
        <v>0</v>
      </c>
      <c r="S80" s="19">
        <f t="shared" si="48"/>
        <v>0</v>
      </c>
      <c r="T80" s="156">
        <f t="shared" si="41"/>
        <v>844.7533000000001</v>
      </c>
      <c r="U80" s="156">
        <f t="shared" si="42"/>
        <v>58.22830000000002</v>
      </c>
      <c r="Y80" s="152"/>
    </row>
    <row r="81" spans="1:25" s="170" customFormat="1" ht="12.75">
      <c r="A81" s="168"/>
      <c r="B81" s="28" t="s">
        <v>122</v>
      </c>
      <c r="C81" s="10" t="s">
        <v>77</v>
      </c>
      <c r="D81" s="161">
        <f>D79*10/1000</f>
        <v>235.6537</v>
      </c>
      <c r="E81" s="19">
        <f aca="true" t="shared" si="49" ref="E81:S81">E79*10/1000</f>
        <v>226.83360000000002</v>
      </c>
      <c r="F81" s="19">
        <f t="shared" si="49"/>
        <v>199.34</v>
      </c>
      <c r="G81" s="19">
        <f t="shared" si="49"/>
        <v>164.775</v>
      </c>
      <c r="H81" s="19">
        <f t="shared" si="49"/>
        <v>131.56640000000002</v>
      </c>
      <c r="I81" s="19">
        <f t="shared" si="49"/>
        <v>57.68</v>
      </c>
      <c r="J81" s="19">
        <f t="shared" si="49"/>
        <v>121.687</v>
      </c>
      <c r="K81" s="19">
        <f t="shared" si="49"/>
        <v>122.23830000000002</v>
      </c>
      <c r="L81" s="62">
        <f t="shared" si="39"/>
        <v>92.90996789453843</v>
      </c>
      <c r="M81" s="62">
        <f t="shared" si="40"/>
        <v>211.92493065187244</v>
      </c>
      <c r="N81" s="19">
        <f t="shared" si="49"/>
        <v>58.22830000000002</v>
      </c>
      <c r="O81" s="155">
        <f t="shared" si="38"/>
        <v>47.63507018667636</v>
      </c>
      <c r="P81" s="19">
        <f t="shared" si="49"/>
        <v>0</v>
      </c>
      <c r="Q81" s="19">
        <f t="shared" si="49"/>
        <v>0</v>
      </c>
      <c r="R81" s="19">
        <f t="shared" si="49"/>
        <v>0</v>
      </c>
      <c r="S81" s="19">
        <f t="shared" si="49"/>
        <v>0</v>
      </c>
      <c r="T81" s="156">
        <f t="shared" si="41"/>
        <v>844.7533000000001</v>
      </c>
      <c r="U81" s="156">
        <f t="shared" si="42"/>
        <v>58.22830000000002</v>
      </c>
      <c r="Y81" s="152"/>
    </row>
    <row r="82" spans="1:25" s="171" customFormat="1" ht="12.75">
      <c r="A82" s="9" t="s">
        <v>3</v>
      </c>
      <c r="B82" s="28" t="s">
        <v>63</v>
      </c>
      <c r="C82" s="10" t="s">
        <v>0</v>
      </c>
      <c r="D82" s="49">
        <v>726.3</v>
      </c>
      <c r="E82" s="21">
        <v>2036.38</v>
      </c>
      <c r="F82" s="21">
        <v>4785.8</v>
      </c>
      <c r="G82" s="21">
        <v>8242.24</v>
      </c>
      <c r="H82" s="21">
        <v>11563.1</v>
      </c>
      <c r="I82" s="21">
        <v>18952</v>
      </c>
      <c r="J82" s="21">
        <v>12551</v>
      </c>
      <c r="K82" s="21">
        <v>12551</v>
      </c>
      <c r="L82" s="62">
        <f t="shared" si="39"/>
        <v>108.5435566586815</v>
      </c>
      <c r="M82" s="62">
        <f t="shared" si="40"/>
        <v>66.22520050654285</v>
      </c>
      <c r="N82" s="21">
        <v>18952</v>
      </c>
      <c r="O82" s="155">
        <f t="shared" si="38"/>
        <v>150.9999203250737</v>
      </c>
      <c r="P82" s="21">
        <v>24774.83</v>
      </c>
      <c r="Q82" s="21">
        <v>24774.83</v>
      </c>
      <c r="R82" s="21">
        <v>24774.83</v>
      </c>
      <c r="S82" s="21">
        <v>24774.83</v>
      </c>
      <c r="T82" s="156">
        <f t="shared" si="41"/>
        <v>39178.520000000004</v>
      </c>
      <c r="U82" s="156">
        <f t="shared" si="42"/>
        <v>118051.32</v>
      </c>
      <c r="Y82" s="152"/>
    </row>
    <row r="83" spans="1:25" s="171" customFormat="1" ht="12.75">
      <c r="A83" s="9"/>
      <c r="B83" s="28" t="s">
        <v>74</v>
      </c>
      <c r="C83" s="10" t="s">
        <v>55</v>
      </c>
      <c r="D83" s="49">
        <f>12.82*100/40</f>
        <v>32.05</v>
      </c>
      <c r="E83" s="49">
        <v>28.8</v>
      </c>
      <c r="F83" s="49">
        <v>27.8</v>
      </c>
      <c r="G83" s="49">
        <v>33.69</v>
      </c>
      <c r="H83" s="49">
        <v>41.3</v>
      </c>
      <c r="I83" s="49">
        <v>38</v>
      </c>
      <c r="J83" s="49">
        <v>13</v>
      </c>
      <c r="K83" s="49">
        <v>41</v>
      </c>
      <c r="L83" s="62">
        <f t="shared" si="39"/>
        <v>99.27360774818402</v>
      </c>
      <c r="M83" s="62">
        <f t="shared" si="40"/>
        <v>107.89473684210526</v>
      </c>
      <c r="N83" s="49">
        <v>41</v>
      </c>
      <c r="O83" s="155">
        <f t="shared" si="38"/>
        <v>100</v>
      </c>
      <c r="P83" s="49">
        <v>41</v>
      </c>
      <c r="Q83" s="49">
        <v>41</v>
      </c>
      <c r="R83" s="49">
        <v>41</v>
      </c>
      <c r="S83" s="49">
        <v>41</v>
      </c>
      <c r="T83" s="156">
        <f t="shared" si="41"/>
        <v>172.58999999999997</v>
      </c>
      <c r="U83" s="156">
        <f t="shared" si="42"/>
        <v>205</v>
      </c>
      <c r="Y83" s="152"/>
    </row>
    <row r="84" spans="1:25" s="173" customFormat="1" ht="12.75">
      <c r="A84" s="15"/>
      <c r="B84" s="29" t="s">
        <v>57</v>
      </c>
      <c r="C84" s="16" t="s">
        <v>30</v>
      </c>
      <c r="D84" s="161">
        <f>D82*D83/10</f>
        <v>2327.7915</v>
      </c>
      <c r="E84" s="17">
        <f>E82*E83/10</f>
        <v>5864.7744</v>
      </c>
      <c r="F84" s="17">
        <f aca="true" t="shared" si="50" ref="F84:S84">F82*F83/10</f>
        <v>13304.524000000001</v>
      </c>
      <c r="G84" s="17">
        <f t="shared" si="50"/>
        <v>27768.106559999997</v>
      </c>
      <c r="H84" s="17">
        <f t="shared" si="50"/>
        <v>47755.602999999996</v>
      </c>
      <c r="I84" s="17">
        <f t="shared" si="50"/>
        <v>72017.6</v>
      </c>
      <c r="J84" s="17">
        <f t="shared" si="50"/>
        <v>16316.3</v>
      </c>
      <c r="K84" s="17">
        <f>K82*K83/10</f>
        <v>51459.1</v>
      </c>
      <c r="L84" s="62">
        <f t="shared" si="39"/>
        <v>107.75510467326734</v>
      </c>
      <c r="M84" s="62">
        <f t="shared" si="40"/>
        <v>71.45350580969095</v>
      </c>
      <c r="N84" s="17">
        <f>N82*N83/10</f>
        <v>77703.2</v>
      </c>
      <c r="O84" s="155">
        <f t="shared" si="38"/>
        <v>150.9999203250737</v>
      </c>
      <c r="P84" s="17">
        <f t="shared" si="50"/>
        <v>101576.803</v>
      </c>
      <c r="Q84" s="17">
        <f t="shared" si="50"/>
        <v>101576.803</v>
      </c>
      <c r="R84" s="17">
        <f t="shared" si="50"/>
        <v>101576.803</v>
      </c>
      <c r="S84" s="17">
        <f t="shared" si="50"/>
        <v>101576.803</v>
      </c>
      <c r="T84" s="156">
        <f t="shared" si="41"/>
        <v>146152.10796</v>
      </c>
      <c r="U84" s="156">
        <f t="shared" si="42"/>
        <v>484010.412</v>
      </c>
      <c r="V84" s="172"/>
      <c r="Y84" s="152"/>
    </row>
    <row r="85" spans="1:25" s="173" customFormat="1" ht="12.75">
      <c r="A85" s="15"/>
      <c r="B85" s="29" t="s">
        <v>117</v>
      </c>
      <c r="C85" s="16" t="s">
        <v>30</v>
      </c>
      <c r="D85" s="161">
        <f>D84*40/100</f>
        <v>931.1165999999998</v>
      </c>
      <c r="E85" s="17">
        <f>E84*40/100</f>
        <v>2345.9097600000005</v>
      </c>
      <c r="F85" s="17">
        <f>F84*30/100</f>
        <v>3991.3572000000004</v>
      </c>
      <c r="G85" s="17">
        <f>G84*39.8/100</f>
        <v>11051.706410879999</v>
      </c>
      <c r="H85" s="17">
        <f>H84*45.55/100</f>
        <v>21752.677166499998</v>
      </c>
      <c r="I85" s="17">
        <f>I84*32.527/100</f>
        <v>23425.164752</v>
      </c>
      <c r="J85" s="17">
        <f>J84*40/100</f>
        <v>6526.52</v>
      </c>
      <c r="K85" s="17">
        <f>K84*43/100</f>
        <v>22127.412999999997</v>
      </c>
      <c r="L85" s="62">
        <f t="shared" si="39"/>
        <v>101.72271132712393</v>
      </c>
      <c r="M85" s="62">
        <f t="shared" si="40"/>
        <v>94.46001013978267</v>
      </c>
      <c r="N85" s="17">
        <f>N84*40/100</f>
        <v>31081.28</v>
      </c>
      <c r="O85" s="155">
        <f t="shared" si="38"/>
        <v>140.46504216285928</v>
      </c>
      <c r="P85" s="17">
        <f>P84*40/100</f>
        <v>40630.7212</v>
      </c>
      <c r="Q85" s="17">
        <f>Q84*40/100</f>
        <v>40630.7212</v>
      </c>
      <c r="R85" s="17">
        <f>R84*40/100</f>
        <v>40630.7212</v>
      </c>
      <c r="S85" s="17">
        <f>S84*40/100</f>
        <v>40630.7212</v>
      </c>
      <c r="T85" s="156">
        <f t="shared" si="41"/>
        <v>61269.06353737999</v>
      </c>
      <c r="U85" s="156">
        <f t="shared" si="42"/>
        <v>193604.1648</v>
      </c>
      <c r="V85" s="170"/>
      <c r="Y85" s="152"/>
    </row>
    <row r="86" spans="1:25" s="170" customFormat="1" ht="12.75">
      <c r="A86" s="168"/>
      <c r="B86" s="28" t="s">
        <v>79</v>
      </c>
      <c r="C86" s="10" t="s">
        <v>77</v>
      </c>
      <c r="D86" s="161">
        <f aca="true" t="shared" si="51" ref="D86:K86">D85*28.5/1000</f>
        <v>26.536823099999996</v>
      </c>
      <c r="E86" s="19">
        <f t="shared" si="51"/>
        <v>66.85842816000002</v>
      </c>
      <c r="F86" s="19">
        <f t="shared" si="51"/>
        <v>113.75368020000002</v>
      </c>
      <c r="G86" s="19">
        <f t="shared" si="51"/>
        <v>314.9736327100799</v>
      </c>
      <c r="H86" s="19">
        <f t="shared" si="51"/>
        <v>619.95129924525</v>
      </c>
      <c r="I86" s="19">
        <f t="shared" si="51"/>
        <v>667.617195432</v>
      </c>
      <c r="J86" s="19">
        <f t="shared" si="51"/>
        <v>186.00582</v>
      </c>
      <c r="K86" s="19">
        <f t="shared" si="51"/>
        <v>630.6312704999999</v>
      </c>
      <c r="L86" s="62">
        <f t="shared" si="39"/>
        <v>101.72271132712393</v>
      </c>
      <c r="M86" s="62">
        <f t="shared" si="40"/>
        <v>94.46001013978267</v>
      </c>
      <c r="N86" s="19">
        <f>N85*28.5/1000</f>
        <v>885.81648</v>
      </c>
      <c r="O86" s="155">
        <f t="shared" si="38"/>
        <v>140.46504216285928</v>
      </c>
      <c r="P86" s="19">
        <f>P85*28.5/1000</f>
        <v>1157.9755541999998</v>
      </c>
      <c r="Q86" s="19">
        <f>Q85*28.5/1000</f>
        <v>1157.9755541999998</v>
      </c>
      <c r="R86" s="19">
        <f>R85*28.5/1000</f>
        <v>1157.9755541999998</v>
      </c>
      <c r="S86" s="19">
        <f>S85*28.5/1000</f>
        <v>1157.9755541999998</v>
      </c>
      <c r="T86" s="156">
        <f t="shared" si="41"/>
        <v>1746.1683108153297</v>
      </c>
      <c r="U86" s="156">
        <f t="shared" si="42"/>
        <v>5517.718696799999</v>
      </c>
      <c r="Y86" s="152"/>
    </row>
    <row r="87" spans="1:25" s="170" customFormat="1" ht="12.75">
      <c r="A87" s="168"/>
      <c r="B87" s="28" t="s">
        <v>122</v>
      </c>
      <c r="C87" s="10" t="s">
        <v>77</v>
      </c>
      <c r="D87" s="161">
        <f>D82*30/1000</f>
        <v>21.789</v>
      </c>
      <c r="E87" s="19">
        <f>E82*30/1000</f>
        <v>61.0914</v>
      </c>
      <c r="F87" s="19">
        <f aca="true" t="shared" si="52" ref="F87:S87">F82*30/1000</f>
        <v>143.574</v>
      </c>
      <c r="G87" s="19">
        <f t="shared" si="52"/>
        <v>247.26719999999997</v>
      </c>
      <c r="H87" s="19">
        <f t="shared" si="52"/>
        <v>346.893</v>
      </c>
      <c r="I87" s="19">
        <f t="shared" si="52"/>
        <v>568.56</v>
      </c>
      <c r="J87" s="19">
        <f>J82*30/1000</f>
        <v>376.53</v>
      </c>
      <c r="K87" s="19">
        <f t="shared" si="52"/>
        <v>376.53</v>
      </c>
      <c r="L87" s="62">
        <f t="shared" si="39"/>
        <v>108.5435566586815</v>
      </c>
      <c r="M87" s="62">
        <f t="shared" si="40"/>
        <v>66.22520050654285</v>
      </c>
      <c r="N87" s="19">
        <f>N82*30/1000</f>
        <v>568.56</v>
      </c>
      <c r="O87" s="155">
        <f t="shared" si="38"/>
        <v>150.9999203250737</v>
      </c>
      <c r="P87" s="19">
        <f t="shared" si="52"/>
        <v>743.2449</v>
      </c>
      <c r="Q87" s="19">
        <f t="shared" si="52"/>
        <v>743.2449</v>
      </c>
      <c r="R87" s="19">
        <f t="shared" si="52"/>
        <v>743.2449</v>
      </c>
      <c r="S87" s="19">
        <f t="shared" si="52"/>
        <v>743.2449</v>
      </c>
      <c r="T87" s="156">
        <f t="shared" si="41"/>
        <v>1175.3555999999999</v>
      </c>
      <c r="U87" s="156">
        <f t="shared" si="42"/>
        <v>3541.5396</v>
      </c>
      <c r="Y87" s="152"/>
    </row>
    <row r="88" spans="1:25" s="41" customFormat="1" ht="12.75">
      <c r="A88" s="5" t="s">
        <v>12</v>
      </c>
      <c r="B88" s="27" t="s">
        <v>43</v>
      </c>
      <c r="C88" s="5" t="s">
        <v>0</v>
      </c>
      <c r="D88" s="49">
        <f>D91+D93+D95</f>
        <v>9</v>
      </c>
      <c r="E88" s="21">
        <f>E91+E93+E95</f>
        <v>17.8</v>
      </c>
      <c r="F88" s="21">
        <f>F91+F93+F95</f>
        <v>24.099999999999994</v>
      </c>
      <c r="G88" s="21">
        <f>G91+G93+G95</f>
        <v>24.2</v>
      </c>
      <c r="H88" s="21">
        <f>H91+H93+H95</f>
        <v>23.2</v>
      </c>
      <c r="I88" s="21">
        <v>35</v>
      </c>
      <c r="J88" s="21">
        <v>18</v>
      </c>
      <c r="K88" s="21">
        <v>18</v>
      </c>
      <c r="L88" s="62">
        <f t="shared" si="39"/>
        <v>77.58620689655173</v>
      </c>
      <c r="M88" s="62">
        <f t="shared" si="40"/>
        <v>51.42857142857142</v>
      </c>
      <c r="N88" s="21">
        <v>18</v>
      </c>
      <c r="O88" s="155">
        <f t="shared" si="38"/>
        <v>100</v>
      </c>
      <c r="P88" s="21">
        <f>P91+P93+P95</f>
        <v>24.2</v>
      </c>
      <c r="Q88" s="21">
        <f>Q91+Q93+Q95</f>
        <v>24.2</v>
      </c>
      <c r="R88" s="21">
        <f>R91+R93+R95</f>
        <v>24.2</v>
      </c>
      <c r="S88" s="21">
        <f>S91+S93+S95</f>
        <v>24.2</v>
      </c>
      <c r="T88" s="156">
        <f t="shared" si="41"/>
        <v>107.3</v>
      </c>
      <c r="U88" s="156">
        <f t="shared" si="42"/>
        <v>114.8</v>
      </c>
      <c r="Y88" s="152"/>
    </row>
    <row r="89" spans="1:25" s="41" customFormat="1" ht="12.75">
      <c r="A89" s="5"/>
      <c r="B89" s="27" t="s">
        <v>85</v>
      </c>
      <c r="C89" s="5" t="s">
        <v>77</v>
      </c>
      <c r="D89" s="49">
        <f>D92+D94+D98</f>
        <v>0.55</v>
      </c>
      <c r="E89" s="21">
        <f>E92+E94+E98</f>
        <v>1.1500000000000001</v>
      </c>
      <c r="F89" s="21">
        <f aca="true" t="shared" si="53" ref="F89:S89">F92+F94+F98</f>
        <v>2.2974999999999994</v>
      </c>
      <c r="G89" s="21">
        <f t="shared" si="53"/>
        <v>4.7375</v>
      </c>
      <c r="H89" s="21">
        <f t="shared" si="53"/>
        <v>3.27</v>
      </c>
      <c r="I89" s="21">
        <f>I92+I94+I98</f>
        <v>7.3048</v>
      </c>
      <c r="J89" s="21">
        <f>J92+J94+J98</f>
        <v>0.21</v>
      </c>
      <c r="K89" s="21">
        <f>K92+K94+K98</f>
        <v>3.6</v>
      </c>
      <c r="L89" s="62">
        <f t="shared" si="39"/>
        <v>110.09174311926606</v>
      </c>
      <c r="M89" s="62">
        <f t="shared" si="40"/>
        <v>49.28266345416713</v>
      </c>
      <c r="N89" s="21">
        <f>N92+N94+N98</f>
        <v>4.752</v>
      </c>
      <c r="O89" s="155">
        <f t="shared" si="38"/>
        <v>131.99999999999997</v>
      </c>
      <c r="P89" s="21">
        <f t="shared" si="53"/>
        <v>4.67</v>
      </c>
      <c r="Q89" s="21">
        <f t="shared" si="53"/>
        <v>4.84</v>
      </c>
      <c r="R89" s="21">
        <f t="shared" si="53"/>
        <v>4.84</v>
      </c>
      <c r="S89" s="21">
        <f t="shared" si="53"/>
        <v>4.84</v>
      </c>
      <c r="T89" s="156">
        <f t="shared" si="41"/>
        <v>15.054999999999998</v>
      </c>
      <c r="U89" s="156">
        <f t="shared" si="42"/>
        <v>23.941999999999997</v>
      </c>
      <c r="Y89" s="152"/>
    </row>
    <row r="90" spans="1:25" s="41" customFormat="1" ht="12.75">
      <c r="A90" s="5"/>
      <c r="B90" s="27" t="s">
        <v>122</v>
      </c>
      <c r="C90" s="5" t="s">
        <v>77</v>
      </c>
      <c r="D90" s="49">
        <f>D89*30%*9.6%</f>
        <v>0.01584</v>
      </c>
      <c r="E90" s="21">
        <f aca="true" t="shared" si="54" ref="E90:S90">E89*30%*9.6%</f>
        <v>0.033120000000000004</v>
      </c>
      <c r="F90" s="21">
        <f t="shared" si="54"/>
        <v>0.06616799999999998</v>
      </c>
      <c r="G90" s="21">
        <f t="shared" si="54"/>
        <v>0.13644</v>
      </c>
      <c r="H90" s="21">
        <f t="shared" si="54"/>
        <v>0.094176</v>
      </c>
      <c r="I90" s="21">
        <f>I89*30%*9.6%</f>
        <v>0.21037824000000002</v>
      </c>
      <c r="J90" s="21">
        <f>J89*30%*9.6%</f>
        <v>0.006048</v>
      </c>
      <c r="K90" s="21">
        <f t="shared" si="54"/>
        <v>0.10368000000000001</v>
      </c>
      <c r="L90" s="62">
        <f t="shared" si="39"/>
        <v>110.09174311926606</v>
      </c>
      <c r="M90" s="62">
        <f t="shared" si="40"/>
        <v>49.28266345416712</v>
      </c>
      <c r="N90" s="21">
        <f t="shared" si="54"/>
        <v>0.1368576</v>
      </c>
      <c r="O90" s="155">
        <f t="shared" si="38"/>
        <v>131.99999999999997</v>
      </c>
      <c r="P90" s="21">
        <f t="shared" si="54"/>
        <v>0.134496</v>
      </c>
      <c r="Q90" s="21">
        <f t="shared" si="54"/>
        <v>0.139392</v>
      </c>
      <c r="R90" s="21">
        <f t="shared" si="54"/>
        <v>0.139392</v>
      </c>
      <c r="S90" s="21">
        <f t="shared" si="54"/>
        <v>0.139392</v>
      </c>
      <c r="T90" s="156">
        <f t="shared" si="41"/>
        <v>0.43358399999999997</v>
      </c>
      <c r="U90" s="156">
        <f t="shared" si="42"/>
        <v>0.6895296</v>
      </c>
      <c r="Y90" s="152"/>
    </row>
    <row r="91" spans="1:25" s="41" customFormat="1" ht="12.75">
      <c r="A91" s="5" t="s">
        <v>3</v>
      </c>
      <c r="B91" s="27" t="s">
        <v>80</v>
      </c>
      <c r="C91" s="5" t="s">
        <v>39</v>
      </c>
      <c r="D91" s="49">
        <v>4</v>
      </c>
      <c r="E91" s="21">
        <v>8.8</v>
      </c>
      <c r="F91" s="21">
        <f>24.15-17.8</f>
        <v>6.349999999999998</v>
      </c>
      <c r="G91" s="21"/>
      <c r="H91" s="21"/>
      <c r="I91" s="21">
        <f>I88-H88</f>
        <v>11.8</v>
      </c>
      <c r="J91" s="21"/>
      <c r="K91" s="21">
        <v>0</v>
      </c>
      <c r="L91" s="62"/>
      <c r="M91" s="62">
        <f t="shared" si="40"/>
        <v>0</v>
      </c>
      <c r="N91" s="21">
        <v>0</v>
      </c>
      <c r="O91" s="155"/>
      <c r="P91" s="21"/>
      <c r="Q91" s="21"/>
      <c r="R91" s="21"/>
      <c r="S91" s="21"/>
      <c r="T91" s="156">
        <f t="shared" si="41"/>
        <v>15.149999999999999</v>
      </c>
      <c r="U91" s="156">
        <f t="shared" si="42"/>
        <v>0</v>
      </c>
      <c r="Y91" s="152"/>
    </row>
    <row r="92" spans="1:25" s="41" customFormat="1" ht="12.75">
      <c r="A92" s="5"/>
      <c r="B92" s="27" t="s">
        <v>93</v>
      </c>
      <c r="C92" s="5" t="s">
        <v>77</v>
      </c>
      <c r="D92" s="49">
        <f>D91*100/1000</f>
        <v>0.4</v>
      </c>
      <c r="E92" s="21">
        <f aca="true" t="shared" si="55" ref="E92:S92">E91*100/1000</f>
        <v>0.8800000000000001</v>
      </c>
      <c r="F92" s="21">
        <f t="shared" si="55"/>
        <v>0.6349999999999998</v>
      </c>
      <c r="G92" s="21">
        <f t="shared" si="55"/>
        <v>0</v>
      </c>
      <c r="H92" s="21">
        <f t="shared" si="55"/>
        <v>0</v>
      </c>
      <c r="I92" s="21">
        <f t="shared" si="55"/>
        <v>1.18</v>
      </c>
      <c r="J92" s="21"/>
      <c r="K92" s="21">
        <f t="shared" si="55"/>
        <v>0</v>
      </c>
      <c r="L92" s="62"/>
      <c r="M92" s="62">
        <f t="shared" si="40"/>
        <v>0</v>
      </c>
      <c r="N92" s="21">
        <f>N91*100/1000</f>
        <v>0</v>
      </c>
      <c r="O92" s="155"/>
      <c r="P92" s="21">
        <f t="shared" si="55"/>
        <v>0</v>
      </c>
      <c r="Q92" s="21">
        <f t="shared" si="55"/>
        <v>0</v>
      </c>
      <c r="R92" s="21">
        <f t="shared" si="55"/>
        <v>0</v>
      </c>
      <c r="S92" s="21">
        <f t="shared" si="55"/>
        <v>0</v>
      </c>
      <c r="T92" s="156">
        <f t="shared" si="41"/>
        <v>1.515</v>
      </c>
      <c r="U92" s="156">
        <f t="shared" si="42"/>
        <v>0</v>
      </c>
      <c r="Y92" s="152"/>
    </row>
    <row r="93" spans="1:25" s="41" customFormat="1" ht="12.75">
      <c r="A93" s="5" t="s">
        <v>3</v>
      </c>
      <c r="B93" s="27" t="s">
        <v>82</v>
      </c>
      <c r="C93" s="5" t="s">
        <v>39</v>
      </c>
      <c r="D93" s="49">
        <v>5</v>
      </c>
      <c r="E93" s="21">
        <v>9</v>
      </c>
      <c r="F93" s="21">
        <f>24.15-11.4</f>
        <v>12.749999999999998</v>
      </c>
      <c r="G93" s="21">
        <f>24.2-17.75</f>
        <v>6.449999999999999</v>
      </c>
      <c r="H93" s="21">
        <v>12.2</v>
      </c>
      <c r="I93" s="21">
        <f>I88-I91-I95</f>
        <v>0</v>
      </c>
      <c r="J93" s="21">
        <f>J88-J95</f>
        <v>7</v>
      </c>
      <c r="K93" s="21">
        <v>0</v>
      </c>
      <c r="L93" s="62">
        <f t="shared" si="39"/>
        <v>0</v>
      </c>
      <c r="M93" s="62"/>
      <c r="N93" s="21">
        <f>N88-N91-N95</f>
        <v>0</v>
      </c>
      <c r="O93" s="155"/>
      <c r="P93" s="21">
        <v>1</v>
      </c>
      <c r="Q93" s="21"/>
      <c r="R93" s="21"/>
      <c r="S93" s="21">
        <v>0</v>
      </c>
      <c r="T93" s="156">
        <f t="shared" si="41"/>
        <v>40.4</v>
      </c>
      <c r="U93" s="156">
        <f t="shared" si="42"/>
        <v>1</v>
      </c>
      <c r="Y93" s="152"/>
    </row>
    <row r="94" spans="1:25" s="41" customFormat="1" ht="12.75">
      <c r="A94" s="5"/>
      <c r="B94" s="27" t="s">
        <v>97</v>
      </c>
      <c r="C94" s="5" t="s">
        <v>77</v>
      </c>
      <c r="D94" s="49">
        <f>D93*30/1000</f>
        <v>0.15</v>
      </c>
      <c r="E94" s="21">
        <f aca="true" t="shared" si="56" ref="E94:S94">E93*30/1000</f>
        <v>0.27</v>
      </c>
      <c r="F94" s="21">
        <f t="shared" si="56"/>
        <v>0.38249999999999995</v>
      </c>
      <c r="G94" s="21">
        <f t="shared" si="56"/>
        <v>0.19349999999999998</v>
      </c>
      <c r="H94" s="21">
        <f t="shared" si="56"/>
        <v>0.366</v>
      </c>
      <c r="I94" s="21">
        <f t="shared" si="56"/>
        <v>0</v>
      </c>
      <c r="J94" s="21">
        <f t="shared" si="56"/>
        <v>0.21</v>
      </c>
      <c r="K94" s="21">
        <f t="shared" si="56"/>
        <v>0</v>
      </c>
      <c r="L94" s="62">
        <f t="shared" si="39"/>
        <v>0</v>
      </c>
      <c r="M94" s="62"/>
      <c r="N94" s="21">
        <f t="shared" si="56"/>
        <v>0</v>
      </c>
      <c r="O94" s="155"/>
      <c r="P94" s="21">
        <f t="shared" si="56"/>
        <v>0.03</v>
      </c>
      <c r="Q94" s="21">
        <f t="shared" si="56"/>
        <v>0</v>
      </c>
      <c r="R94" s="21">
        <f t="shared" si="56"/>
        <v>0</v>
      </c>
      <c r="S94" s="21">
        <f t="shared" si="56"/>
        <v>0</v>
      </c>
      <c r="T94" s="156">
        <f t="shared" si="41"/>
        <v>1.212</v>
      </c>
      <c r="U94" s="156">
        <f t="shared" si="42"/>
        <v>0.03</v>
      </c>
      <c r="Y94" s="152"/>
    </row>
    <row r="95" spans="1:25" s="41" customFormat="1" ht="12.75">
      <c r="A95" s="9" t="s">
        <v>3</v>
      </c>
      <c r="B95" s="28" t="s">
        <v>63</v>
      </c>
      <c r="C95" s="10" t="s">
        <v>0</v>
      </c>
      <c r="D95" s="49"/>
      <c r="E95" s="21"/>
      <c r="F95" s="21">
        <v>5</v>
      </c>
      <c r="G95" s="21">
        <v>17.75</v>
      </c>
      <c r="H95" s="21">
        <v>11</v>
      </c>
      <c r="I95" s="21">
        <v>23.2</v>
      </c>
      <c r="J95" s="21">
        <v>11</v>
      </c>
      <c r="K95" s="21">
        <v>18</v>
      </c>
      <c r="L95" s="62">
        <f t="shared" si="39"/>
        <v>163.63636363636365</v>
      </c>
      <c r="M95" s="62">
        <f t="shared" si="40"/>
        <v>77.58620689655173</v>
      </c>
      <c r="N95" s="21">
        <v>18</v>
      </c>
      <c r="O95" s="155">
        <f t="shared" si="38"/>
        <v>100</v>
      </c>
      <c r="P95" s="21">
        <v>23.2</v>
      </c>
      <c r="Q95" s="21">
        <v>24.2</v>
      </c>
      <c r="R95" s="21">
        <v>24.2</v>
      </c>
      <c r="S95" s="21">
        <v>24.2</v>
      </c>
      <c r="T95" s="156">
        <f t="shared" si="41"/>
        <v>51.75</v>
      </c>
      <c r="U95" s="156">
        <f t="shared" si="42"/>
        <v>113.8</v>
      </c>
      <c r="Y95" s="152"/>
    </row>
    <row r="96" spans="1:25" s="41" customFormat="1" ht="12.75">
      <c r="A96" s="9"/>
      <c r="B96" s="28" t="s">
        <v>42</v>
      </c>
      <c r="C96" s="10" t="s">
        <v>55</v>
      </c>
      <c r="D96" s="49"/>
      <c r="E96" s="21"/>
      <c r="F96" s="21">
        <v>32</v>
      </c>
      <c r="G96" s="21">
        <v>32</v>
      </c>
      <c r="H96" s="21">
        <v>33</v>
      </c>
      <c r="I96" s="21">
        <v>33</v>
      </c>
      <c r="J96" s="21"/>
      <c r="K96" s="21">
        <v>25</v>
      </c>
      <c r="L96" s="62">
        <f t="shared" si="39"/>
        <v>75.75757575757575</v>
      </c>
      <c r="M96" s="62">
        <f t="shared" si="40"/>
        <v>75.75757575757575</v>
      </c>
      <c r="N96" s="21">
        <v>33</v>
      </c>
      <c r="O96" s="155">
        <f t="shared" si="38"/>
        <v>132</v>
      </c>
      <c r="P96" s="21">
        <v>25</v>
      </c>
      <c r="Q96" s="21">
        <v>25</v>
      </c>
      <c r="R96" s="21">
        <v>25</v>
      </c>
      <c r="S96" s="21">
        <v>25</v>
      </c>
      <c r="T96" s="156">
        <f t="shared" si="41"/>
        <v>122</v>
      </c>
      <c r="U96" s="156">
        <f t="shared" si="42"/>
        <v>133</v>
      </c>
      <c r="Y96" s="152"/>
    </row>
    <row r="97" spans="1:25" s="41" customFormat="1" ht="12.75">
      <c r="A97" s="9"/>
      <c r="B97" s="28" t="s">
        <v>57</v>
      </c>
      <c r="C97" s="10" t="s">
        <v>30</v>
      </c>
      <c r="D97" s="49"/>
      <c r="E97" s="21"/>
      <c r="F97" s="19">
        <f aca="true" t="shared" si="57" ref="F97:S97">F95*F96/10</f>
        <v>16</v>
      </c>
      <c r="G97" s="19">
        <f t="shared" si="57"/>
        <v>56.8</v>
      </c>
      <c r="H97" s="19">
        <f t="shared" si="57"/>
        <v>36.3</v>
      </c>
      <c r="I97" s="19">
        <f t="shared" si="57"/>
        <v>76.56</v>
      </c>
      <c r="J97" s="19"/>
      <c r="K97" s="19">
        <f t="shared" si="57"/>
        <v>45</v>
      </c>
      <c r="L97" s="62">
        <f t="shared" si="39"/>
        <v>123.96694214876034</v>
      </c>
      <c r="M97" s="62">
        <f t="shared" si="40"/>
        <v>58.777429467084644</v>
      </c>
      <c r="N97" s="19">
        <f>N95*N96/10</f>
        <v>59.4</v>
      </c>
      <c r="O97" s="155">
        <f t="shared" si="38"/>
        <v>132</v>
      </c>
      <c r="P97" s="19">
        <f t="shared" si="57"/>
        <v>58</v>
      </c>
      <c r="Q97" s="19">
        <f t="shared" si="57"/>
        <v>60.5</v>
      </c>
      <c r="R97" s="19">
        <f t="shared" si="57"/>
        <v>60.5</v>
      </c>
      <c r="S97" s="19">
        <f t="shared" si="57"/>
        <v>60.5</v>
      </c>
      <c r="T97" s="156">
        <f t="shared" si="41"/>
        <v>154.1</v>
      </c>
      <c r="U97" s="156">
        <f t="shared" si="42"/>
        <v>298.9</v>
      </c>
      <c r="Y97" s="152"/>
    </row>
    <row r="98" spans="1:25" s="41" customFormat="1" ht="12.75">
      <c r="A98" s="9"/>
      <c r="B98" s="28" t="s">
        <v>79</v>
      </c>
      <c r="C98" s="10" t="s">
        <v>77</v>
      </c>
      <c r="D98" s="49">
        <f aca="true" t="shared" si="58" ref="D98:S98">D97*80/1000</f>
        <v>0</v>
      </c>
      <c r="E98" s="21">
        <f t="shared" si="58"/>
        <v>0</v>
      </c>
      <c r="F98" s="21">
        <f t="shared" si="58"/>
        <v>1.28</v>
      </c>
      <c r="G98" s="21">
        <f t="shared" si="58"/>
        <v>4.544</v>
      </c>
      <c r="H98" s="21">
        <f t="shared" si="58"/>
        <v>2.904</v>
      </c>
      <c r="I98" s="21">
        <f t="shared" si="58"/>
        <v>6.1248000000000005</v>
      </c>
      <c r="J98" s="21">
        <f t="shared" si="58"/>
        <v>0</v>
      </c>
      <c r="K98" s="21">
        <f t="shared" si="58"/>
        <v>3.6</v>
      </c>
      <c r="L98" s="62">
        <f t="shared" si="39"/>
        <v>123.96694214876034</v>
      </c>
      <c r="M98" s="62">
        <f t="shared" si="40"/>
        <v>58.777429467084644</v>
      </c>
      <c r="N98" s="21">
        <f t="shared" si="58"/>
        <v>4.752</v>
      </c>
      <c r="O98" s="155">
        <f t="shared" si="38"/>
        <v>131.99999999999997</v>
      </c>
      <c r="P98" s="21">
        <f t="shared" si="58"/>
        <v>4.64</v>
      </c>
      <c r="Q98" s="21">
        <f t="shared" si="58"/>
        <v>4.84</v>
      </c>
      <c r="R98" s="21">
        <f t="shared" si="58"/>
        <v>4.84</v>
      </c>
      <c r="S98" s="21">
        <f t="shared" si="58"/>
        <v>4.84</v>
      </c>
      <c r="T98" s="156">
        <f t="shared" si="41"/>
        <v>12.328</v>
      </c>
      <c r="U98" s="156">
        <f t="shared" si="42"/>
        <v>23.912</v>
      </c>
      <c r="Y98" s="152"/>
    </row>
    <row r="99" spans="1:25" s="41" customFormat="1" ht="12.75">
      <c r="A99" s="5" t="s">
        <v>25</v>
      </c>
      <c r="B99" s="27" t="s">
        <v>36</v>
      </c>
      <c r="C99" s="5" t="s">
        <v>0</v>
      </c>
      <c r="D99" s="49">
        <f>D102+D104+D106</f>
        <v>174</v>
      </c>
      <c r="E99" s="21">
        <f>E102+E104+E106</f>
        <v>236</v>
      </c>
      <c r="F99" s="21">
        <f>F102+F104+F106</f>
        <v>631</v>
      </c>
      <c r="G99" s="21">
        <f>G102+G104+G106</f>
        <v>727.1</v>
      </c>
      <c r="H99" s="21">
        <f>H102+H104+H106</f>
        <v>816.9</v>
      </c>
      <c r="I99" s="21">
        <v>1000</v>
      </c>
      <c r="J99" s="21">
        <v>831.9</v>
      </c>
      <c r="K99" s="21">
        <v>887</v>
      </c>
      <c r="L99" s="62">
        <f t="shared" si="39"/>
        <v>108.58122169176154</v>
      </c>
      <c r="M99" s="62">
        <f t="shared" si="40"/>
        <v>88.7</v>
      </c>
      <c r="N99" s="21">
        <v>1000</v>
      </c>
      <c r="O99" s="155">
        <f t="shared" si="38"/>
        <v>112.73957158962796</v>
      </c>
      <c r="P99" s="21">
        <f>P102+P104+P106</f>
        <v>830</v>
      </c>
      <c r="Q99" s="21">
        <f>Q102+Q104+Q106</f>
        <v>835</v>
      </c>
      <c r="R99" s="21">
        <f>R102+R104+R106</f>
        <v>840.9</v>
      </c>
      <c r="S99" s="21">
        <f>S102+S104+S106</f>
        <v>850</v>
      </c>
      <c r="T99" s="156">
        <f t="shared" si="41"/>
        <v>3298</v>
      </c>
      <c r="U99" s="156">
        <f t="shared" si="42"/>
        <v>4355.9</v>
      </c>
      <c r="Y99" s="152"/>
    </row>
    <row r="100" spans="1:25" s="41" customFormat="1" ht="12.75">
      <c r="A100" s="5"/>
      <c r="B100" s="27" t="s">
        <v>85</v>
      </c>
      <c r="C100" s="5" t="s">
        <v>77</v>
      </c>
      <c r="D100" s="49">
        <f>D103+D105+D109</f>
        <v>5.145</v>
      </c>
      <c r="E100" s="21">
        <f>E103+E105+E109</f>
        <v>2.73</v>
      </c>
      <c r="F100" s="21">
        <f aca="true" t="shared" si="59" ref="F100:S100">F103+F105+F109</f>
        <v>13.03</v>
      </c>
      <c r="G100" s="21">
        <f t="shared" si="59"/>
        <v>10.060500000000001</v>
      </c>
      <c r="H100" s="21">
        <f t="shared" si="59"/>
        <v>27.1905</v>
      </c>
      <c r="I100" s="21">
        <f>I103+I105+I109</f>
        <v>29.5875</v>
      </c>
      <c r="J100" s="21"/>
      <c r="K100" s="21">
        <f t="shared" si="59"/>
        <v>34.6075</v>
      </c>
      <c r="L100" s="62">
        <f t="shared" si="39"/>
        <v>127.27790956400213</v>
      </c>
      <c r="M100" s="62">
        <f t="shared" si="40"/>
        <v>116.96662441909591</v>
      </c>
      <c r="N100" s="21">
        <f>N103+N105+N109</f>
        <v>88.325</v>
      </c>
      <c r="O100" s="155">
        <f t="shared" si="38"/>
        <v>255.2192443834429</v>
      </c>
      <c r="P100" s="21">
        <f t="shared" si="59"/>
        <v>76.84</v>
      </c>
      <c r="Q100" s="21">
        <f t="shared" si="59"/>
        <v>87.91650000000001</v>
      </c>
      <c r="R100" s="21">
        <f t="shared" si="59"/>
        <v>98.27300000000001</v>
      </c>
      <c r="S100" s="21">
        <f t="shared" si="59"/>
        <v>98.80000000000001</v>
      </c>
      <c r="T100" s="156">
        <f t="shared" si="41"/>
        <v>87.61850000000001</v>
      </c>
      <c r="U100" s="156">
        <f t="shared" si="42"/>
        <v>450.15450000000004</v>
      </c>
      <c r="Y100" s="152"/>
    </row>
    <row r="101" spans="1:25" s="41" customFormat="1" ht="12.75">
      <c r="A101" s="5"/>
      <c r="B101" s="27" t="s">
        <v>122</v>
      </c>
      <c r="C101" s="5" t="s">
        <v>77</v>
      </c>
      <c r="D101" s="49">
        <f>D100*30%*9.6%</f>
        <v>0.148176</v>
      </c>
      <c r="E101" s="21">
        <f aca="true" t="shared" si="60" ref="E101:S101">E100*30%*9.6%</f>
        <v>0.078624</v>
      </c>
      <c r="F101" s="21">
        <f t="shared" si="60"/>
        <v>0.375264</v>
      </c>
      <c r="G101" s="21">
        <f t="shared" si="60"/>
        <v>0.2897424</v>
      </c>
      <c r="H101" s="21">
        <f t="shared" si="60"/>
        <v>0.7830864</v>
      </c>
      <c r="I101" s="21">
        <f>I100*30%*9.6%</f>
        <v>0.8521199999999999</v>
      </c>
      <c r="J101" s="21">
        <f>J100*30%*9.6%</f>
        <v>0</v>
      </c>
      <c r="K101" s="21">
        <f>K100*30%*9.6%</f>
        <v>0.9966960000000001</v>
      </c>
      <c r="L101" s="62">
        <f t="shared" si="39"/>
        <v>127.27790956400216</v>
      </c>
      <c r="M101" s="62">
        <f t="shared" si="40"/>
        <v>116.96662441909594</v>
      </c>
      <c r="N101" s="21">
        <f>N100*30%*9.6%</f>
        <v>2.54376</v>
      </c>
      <c r="O101" s="155">
        <f t="shared" si="38"/>
        <v>255.21924438344286</v>
      </c>
      <c r="P101" s="21">
        <f t="shared" si="60"/>
        <v>2.212992</v>
      </c>
      <c r="Q101" s="21">
        <f t="shared" si="60"/>
        <v>2.5319952000000003</v>
      </c>
      <c r="R101" s="21">
        <f t="shared" si="60"/>
        <v>2.8302624000000005</v>
      </c>
      <c r="S101" s="21">
        <f t="shared" si="60"/>
        <v>2.84544</v>
      </c>
      <c r="T101" s="156">
        <f t="shared" si="41"/>
        <v>2.5234128</v>
      </c>
      <c r="U101" s="156">
        <f t="shared" si="42"/>
        <v>12.964449600000002</v>
      </c>
      <c r="Y101" s="152"/>
    </row>
    <row r="102" spans="1:25" s="41" customFormat="1" ht="12.75">
      <c r="A102" s="5" t="s">
        <v>3</v>
      </c>
      <c r="B102" s="27" t="s">
        <v>80</v>
      </c>
      <c r="C102" s="5" t="s">
        <v>39</v>
      </c>
      <c r="D102" s="49">
        <v>171</v>
      </c>
      <c r="E102" s="21">
        <v>62</v>
      </c>
      <c r="F102" s="21">
        <f>631-236</f>
        <v>395</v>
      </c>
      <c r="G102" s="21">
        <f>727-631</f>
        <v>96</v>
      </c>
      <c r="H102" s="21">
        <f>816.9-727.1</f>
        <v>89.79999999999995</v>
      </c>
      <c r="I102" s="21">
        <f>I99-H99</f>
        <v>183.10000000000002</v>
      </c>
      <c r="J102" s="21">
        <f>J99-H99</f>
        <v>15</v>
      </c>
      <c r="K102" s="21">
        <f>887-816.9</f>
        <v>70.10000000000002</v>
      </c>
      <c r="L102" s="62">
        <f t="shared" si="39"/>
        <v>78.06236080178181</v>
      </c>
      <c r="M102" s="62">
        <f t="shared" si="40"/>
        <v>38.285090114691435</v>
      </c>
      <c r="N102" s="21">
        <f>N99-K99</f>
        <v>113</v>
      </c>
      <c r="O102" s="155">
        <f t="shared" si="38"/>
        <v>161.19828815977172</v>
      </c>
      <c r="P102" s="21">
        <v>5</v>
      </c>
      <c r="Q102" s="21">
        <v>5</v>
      </c>
      <c r="R102" s="21">
        <v>5</v>
      </c>
      <c r="S102" s="21">
        <v>10</v>
      </c>
      <c r="T102" s="156">
        <f t="shared" si="41"/>
        <v>712.9</v>
      </c>
      <c r="U102" s="156">
        <f t="shared" si="42"/>
        <v>138</v>
      </c>
      <c r="Y102" s="152"/>
    </row>
    <row r="103" spans="1:25" s="41" customFormat="1" ht="12.75">
      <c r="A103" s="5"/>
      <c r="B103" s="27" t="s">
        <v>98</v>
      </c>
      <c r="C103" s="5" t="s">
        <v>77</v>
      </c>
      <c r="D103" s="49">
        <f aca="true" t="shared" si="61" ref="D103:S103">D102*30/1000</f>
        <v>5.13</v>
      </c>
      <c r="E103" s="21">
        <f t="shared" si="61"/>
        <v>1.86</v>
      </c>
      <c r="F103" s="21">
        <f t="shared" si="61"/>
        <v>11.85</v>
      </c>
      <c r="G103" s="21">
        <f t="shared" si="61"/>
        <v>2.88</v>
      </c>
      <c r="H103" s="21">
        <f t="shared" si="61"/>
        <v>2.6939999999999986</v>
      </c>
      <c r="I103" s="21">
        <f t="shared" si="61"/>
        <v>5.493000000000001</v>
      </c>
      <c r="J103" s="21">
        <f t="shared" si="61"/>
        <v>0.45</v>
      </c>
      <c r="K103" s="21">
        <f t="shared" si="61"/>
        <v>2.103000000000001</v>
      </c>
      <c r="L103" s="62">
        <f t="shared" si="39"/>
        <v>78.06236080178182</v>
      </c>
      <c r="M103" s="62">
        <f t="shared" si="40"/>
        <v>38.28509011469144</v>
      </c>
      <c r="N103" s="21">
        <f>N102*30/1000</f>
        <v>3.39</v>
      </c>
      <c r="O103" s="155">
        <f t="shared" si="38"/>
        <v>161.1982881597717</v>
      </c>
      <c r="P103" s="21">
        <f t="shared" si="61"/>
        <v>0.15</v>
      </c>
      <c r="Q103" s="21">
        <f t="shared" si="61"/>
        <v>0.15</v>
      </c>
      <c r="R103" s="21">
        <f t="shared" si="61"/>
        <v>0.15</v>
      </c>
      <c r="S103" s="21">
        <f t="shared" si="61"/>
        <v>0.3</v>
      </c>
      <c r="T103" s="156">
        <f t="shared" si="41"/>
        <v>21.387</v>
      </c>
      <c r="U103" s="156">
        <f t="shared" si="42"/>
        <v>4.140000000000001</v>
      </c>
      <c r="Y103" s="152"/>
    </row>
    <row r="104" spans="1:25" s="41" customFormat="1" ht="12.75">
      <c r="A104" s="9" t="s">
        <v>3</v>
      </c>
      <c r="B104" s="28" t="s">
        <v>82</v>
      </c>
      <c r="C104" s="10" t="s">
        <v>0</v>
      </c>
      <c r="D104" s="49">
        <v>3</v>
      </c>
      <c r="E104" s="167">
        <v>174</v>
      </c>
      <c r="F104" s="21">
        <f>631-395</f>
        <v>236</v>
      </c>
      <c r="G104" s="21">
        <v>596.1</v>
      </c>
      <c r="H104" s="21">
        <f>816.9-89.8-181.4</f>
        <v>545.7</v>
      </c>
      <c r="I104" s="21">
        <f>I99-I102-I106</f>
        <v>642.9</v>
      </c>
      <c r="J104" s="21">
        <f>J99-J102-J106</f>
        <v>620.9</v>
      </c>
      <c r="K104" s="21">
        <f>K99-K102-K106</f>
        <v>620.9</v>
      </c>
      <c r="L104" s="62">
        <f t="shared" si="39"/>
        <v>113.7804654572109</v>
      </c>
      <c r="M104" s="62">
        <f t="shared" si="40"/>
        <v>96.57800591071707</v>
      </c>
      <c r="N104" s="21">
        <f>N99-N102-N106</f>
        <v>187</v>
      </c>
      <c r="O104" s="155">
        <f t="shared" si="38"/>
        <v>30.117571267514897</v>
      </c>
      <c r="P104" s="21">
        <f>830-5-631</f>
        <v>194</v>
      </c>
      <c r="Q104" s="21">
        <f>835-5-727.1</f>
        <v>102.89999999999998</v>
      </c>
      <c r="R104" s="21">
        <f>840-5-816</f>
        <v>19</v>
      </c>
      <c r="S104" s="21">
        <f>850-10-820</f>
        <v>20</v>
      </c>
      <c r="T104" s="156">
        <f t="shared" si="41"/>
        <v>2172.7000000000003</v>
      </c>
      <c r="U104" s="156">
        <f t="shared" si="42"/>
        <v>522.9</v>
      </c>
      <c r="Y104" s="152"/>
    </row>
    <row r="105" spans="1:25" s="41" customFormat="1" ht="12.75">
      <c r="A105" s="9"/>
      <c r="B105" s="28" t="s">
        <v>83</v>
      </c>
      <c r="C105" s="10" t="s">
        <v>77</v>
      </c>
      <c r="D105" s="49">
        <f aca="true" t="shared" si="62" ref="D105:N105">D104*5/1000</f>
        <v>0.015</v>
      </c>
      <c r="E105" s="21">
        <f t="shared" si="62"/>
        <v>0.87</v>
      </c>
      <c r="F105" s="21">
        <f t="shared" si="62"/>
        <v>1.18</v>
      </c>
      <c r="G105" s="21">
        <f t="shared" si="62"/>
        <v>2.9805</v>
      </c>
      <c r="H105" s="21">
        <f t="shared" si="62"/>
        <v>2.7285</v>
      </c>
      <c r="I105" s="21">
        <f t="shared" si="62"/>
        <v>3.2145</v>
      </c>
      <c r="J105" s="21">
        <f t="shared" si="62"/>
        <v>3.1045</v>
      </c>
      <c r="K105" s="21">
        <f t="shared" si="62"/>
        <v>3.1045</v>
      </c>
      <c r="L105" s="62">
        <f t="shared" si="39"/>
        <v>113.78046545721092</v>
      </c>
      <c r="M105" s="62">
        <f t="shared" si="40"/>
        <v>96.57800591071705</v>
      </c>
      <c r="N105" s="21">
        <f t="shared" si="62"/>
        <v>0.935</v>
      </c>
      <c r="O105" s="155">
        <f t="shared" si="38"/>
        <v>30.117571267514904</v>
      </c>
      <c r="P105" s="21">
        <f>P104*5/1000</f>
        <v>0.97</v>
      </c>
      <c r="Q105" s="21">
        <f>Q104*5/1000</f>
        <v>0.5144999999999998</v>
      </c>
      <c r="R105" s="21">
        <f>R104*5/1000</f>
        <v>0.095</v>
      </c>
      <c r="S105" s="21">
        <f>S104*5/1000</f>
        <v>0.1</v>
      </c>
      <c r="T105" s="156">
        <f t="shared" si="41"/>
        <v>10.8635</v>
      </c>
      <c r="U105" s="156">
        <f t="shared" si="42"/>
        <v>2.6144999999999996</v>
      </c>
      <c r="Y105" s="152"/>
    </row>
    <row r="106" spans="1:25" s="41" customFormat="1" ht="12.75">
      <c r="A106" s="9" t="s">
        <v>3</v>
      </c>
      <c r="B106" s="28" t="s">
        <v>63</v>
      </c>
      <c r="C106" s="10" t="s">
        <v>0</v>
      </c>
      <c r="D106" s="49"/>
      <c r="E106" s="21"/>
      <c r="F106" s="21"/>
      <c r="G106" s="21">
        <v>35</v>
      </c>
      <c r="H106" s="21">
        <v>181.4</v>
      </c>
      <c r="I106" s="21">
        <v>174</v>
      </c>
      <c r="J106" s="21">
        <v>196</v>
      </c>
      <c r="K106" s="21">
        <v>196</v>
      </c>
      <c r="L106" s="62">
        <f t="shared" si="39"/>
        <v>108.04851157662623</v>
      </c>
      <c r="M106" s="62">
        <f t="shared" si="40"/>
        <v>112.64367816091954</v>
      </c>
      <c r="N106" s="21">
        <v>700</v>
      </c>
      <c r="O106" s="155">
        <f t="shared" si="38"/>
        <v>357.14285714285717</v>
      </c>
      <c r="P106" s="21">
        <v>631</v>
      </c>
      <c r="Q106" s="21">
        <v>727.1</v>
      </c>
      <c r="R106" s="21">
        <v>816.9</v>
      </c>
      <c r="S106" s="21">
        <v>820</v>
      </c>
      <c r="T106" s="156">
        <f t="shared" si="41"/>
        <v>412.4</v>
      </c>
      <c r="U106" s="156">
        <f t="shared" si="42"/>
        <v>3695</v>
      </c>
      <c r="Y106" s="152"/>
    </row>
    <row r="107" spans="1:25" s="41" customFormat="1" ht="12.75">
      <c r="A107" s="9"/>
      <c r="B107" s="28" t="s">
        <v>4</v>
      </c>
      <c r="C107" s="10" t="s">
        <v>55</v>
      </c>
      <c r="D107" s="49"/>
      <c r="E107" s="21"/>
      <c r="F107" s="21"/>
      <c r="G107" s="21">
        <v>8</v>
      </c>
      <c r="H107" s="21">
        <v>8</v>
      </c>
      <c r="I107" s="21">
        <v>8</v>
      </c>
      <c r="J107" s="21">
        <v>15</v>
      </c>
      <c r="K107" s="21">
        <v>10</v>
      </c>
      <c r="L107" s="62">
        <f t="shared" si="39"/>
        <v>125</v>
      </c>
      <c r="M107" s="62">
        <f t="shared" si="40"/>
        <v>125</v>
      </c>
      <c r="N107" s="21">
        <v>8</v>
      </c>
      <c r="O107" s="155">
        <f t="shared" si="38"/>
        <v>80</v>
      </c>
      <c r="P107" s="21">
        <v>8</v>
      </c>
      <c r="Q107" s="21">
        <v>8</v>
      </c>
      <c r="R107" s="21">
        <v>8</v>
      </c>
      <c r="S107" s="21">
        <v>8</v>
      </c>
      <c r="T107" s="156">
        <f t="shared" si="41"/>
        <v>26</v>
      </c>
      <c r="U107" s="156">
        <f t="shared" si="42"/>
        <v>40</v>
      </c>
      <c r="Y107" s="152"/>
    </row>
    <row r="108" spans="1:25" s="41" customFormat="1" ht="12.75">
      <c r="A108" s="9"/>
      <c r="B108" s="28" t="s">
        <v>57</v>
      </c>
      <c r="C108" s="10" t="s">
        <v>30</v>
      </c>
      <c r="D108" s="49"/>
      <c r="E108" s="19">
        <f aca="true" t="shared" si="63" ref="E108:S108">E106*E107/10</f>
        <v>0</v>
      </c>
      <c r="F108" s="19">
        <f t="shared" si="63"/>
        <v>0</v>
      </c>
      <c r="G108" s="19">
        <f t="shared" si="63"/>
        <v>28</v>
      </c>
      <c r="H108" s="19">
        <f t="shared" si="63"/>
        <v>145.12</v>
      </c>
      <c r="I108" s="19">
        <f>I106*I107/10</f>
        <v>139.2</v>
      </c>
      <c r="J108" s="19">
        <f>J106*J107/10</f>
        <v>294</v>
      </c>
      <c r="K108" s="19">
        <f t="shared" si="63"/>
        <v>196</v>
      </c>
      <c r="L108" s="62">
        <f t="shared" si="39"/>
        <v>135.0606394707828</v>
      </c>
      <c r="M108" s="62">
        <f t="shared" si="40"/>
        <v>140.80459770114945</v>
      </c>
      <c r="N108" s="19">
        <f>N106*N107/10</f>
        <v>560</v>
      </c>
      <c r="O108" s="155">
        <f t="shared" si="38"/>
        <v>285.7142857142857</v>
      </c>
      <c r="P108" s="19">
        <f t="shared" si="63"/>
        <v>504.8</v>
      </c>
      <c r="Q108" s="19">
        <f t="shared" si="63"/>
        <v>581.6800000000001</v>
      </c>
      <c r="R108" s="19">
        <f t="shared" si="63"/>
        <v>653.52</v>
      </c>
      <c r="S108" s="19">
        <f t="shared" si="63"/>
        <v>656</v>
      </c>
      <c r="T108" s="156">
        <f t="shared" si="41"/>
        <v>369.12</v>
      </c>
      <c r="U108" s="156">
        <f t="shared" si="42"/>
        <v>2956</v>
      </c>
      <c r="Y108" s="152"/>
    </row>
    <row r="109" spans="1:25" s="41" customFormat="1" ht="12.75">
      <c r="A109" s="9"/>
      <c r="B109" s="28" t="s">
        <v>79</v>
      </c>
      <c r="C109" s="10" t="s">
        <v>77</v>
      </c>
      <c r="D109" s="49">
        <f aca="true" t="shared" si="64" ref="D109:K109">D108*150/1000</f>
        <v>0</v>
      </c>
      <c r="E109" s="21">
        <f t="shared" si="64"/>
        <v>0</v>
      </c>
      <c r="F109" s="21">
        <f t="shared" si="64"/>
        <v>0</v>
      </c>
      <c r="G109" s="21">
        <f t="shared" si="64"/>
        <v>4.2</v>
      </c>
      <c r="H109" s="21">
        <f t="shared" si="64"/>
        <v>21.768</v>
      </c>
      <c r="I109" s="21">
        <f t="shared" si="64"/>
        <v>20.88</v>
      </c>
      <c r="J109" s="21">
        <f t="shared" si="64"/>
        <v>44.1</v>
      </c>
      <c r="K109" s="21">
        <f t="shared" si="64"/>
        <v>29.4</v>
      </c>
      <c r="L109" s="62">
        <f t="shared" si="39"/>
        <v>135.0606394707828</v>
      </c>
      <c r="M109" s="62">
        <f t="shared" si="40"/>
        <v>140.80459770114942</v>
      </c>
      <c r="N109" s="21">
        <f>N108*150/1000</f>
        <v>84</v>
      </c>
      <c r="O109" s="155">
        <f t="shared" si="38"/>
        <v>285.7142857142857</v>
      </c>
      <c r="P109" s="21">
        <f>P108*150/1000</f>
        <v>75.72</v>
      </c>
      <c r="Q109" s="21">
        <f>Q108*150/1000</f>
        <v>87.25200000000001</v>
      </c>
      <c r="R109" s="21">
        <f>R108*150/1000</f>
        <v>98.028</v>
      </c>
      <c r="S109" s="21">
        <f>S108*150/1000</f>
        <v>98.4</v>
      </c>
      <c r="T109" s="156">
        <f t="shared" si="41"/>
        <v>55.367999999999995</v>
      </c>
      <c r="U109" s="156">
        <f t="shared" si="42"/>
        <v>443.4</v>
      </c>
      <c r="Y109" s="152"/>
    </row>
    <row r="110" spans="1:25" s="41" customFormat="1" ht="12.75">
      <c r="A110" s="5" t="s">
        <v>26</v>
      </c>
      <c r="B110" s="27" t="s">
        <v>47</v>
      </c>
      <c r="C110" s="5" t="s">
        <v>0</v>
      </c>
      <c r="D110" s="49">
        <f>D111+D112+D113</f>
        <v>0.5</v>
      </c>
      <c r="E110" s="21">
        <f>E111+E112+E113</f>
        <v>0.5</v>
      </c>
      <c r="F110" s="21">
        <f>F111+F112+F113</f>
        <v>0.5</v>
      </c>
      <c r="G110" s="21">
        <f>G111+G112+G113</f>
        <v>0.5</v>
      </c>
      <c r="H110" s="21">
        <f>H111+H112+H113</f>
        <v>0.2</v>
      </c>
      <c r="I110" s="21">
        <v>0.2</v>
      </c>
      <c r="J110" s="21">
        <v>0.2</v>
      </c>
      <c r="K110" s="21">
        <v>0.2</v>
      </c>
      <c r="L110" s="62">
        <f t="shared" si="39"/>
        <v>100</v>
      </c>
      <c r="M110" s="62">
        <f t="shared" si="40"/>
        <v>100</v>
      </c>
      <c r="N110" s="21">
        <v>0.2</v>
      </c>
      <c r="O110" s="155">
        <f t="shared" si="38"/>
        <v>100</v>
      </c>
      <c r="P110" s="21">
        <v>0.2</v>
      </c>
      <c r="Q110" s="21">
        <v>0.2</v>
      </c>
      <c r="R110" s="21">
        <v>0.2</v>
      </c>
      <c r="S110" s="21">
        <v>0.2</v>
      </c>
      <c r="T110" s="156">
        <f t="shared" si="41"/>
        <v>1.9</v>
      </c>
      <c r="U110" s="156">
        <f t="shared" si="42"/>
        <v>1</v>
      </c>
      <c r="Y110" s="152"/>
    </row>
    <row r="111" spans="1:25" s="41" customFormat="1" ht="12.75" hidden="1">
      <c r="A111" s="7" t="s">
        <v>3</v>
      </c>
      <c r="B111" s="27" t="s">
        <v>94</v>
      </c>
      <c r="C111" s="5" t="s">
        <v>0</v>
      </c>
      <c r="D111" s="49">
        <v>0.5</v>
      </c>
      <c r="E111" s="21"/>
      <c r="F111" s="21"/>
      <c r="G111" s="21"/>
      <c r="H111" s="21"/>
      <c r="I111" s="21"/>
      <c r="J111" s="21"/>
      <c r="K111" s="21"/>
      <c r="L111" s="62" t="e">
        <f t="shared" si="39"/>
        <v>#DIV/0!</v>
      </c>
      <c r="M111" s="62" t="e">
        <f t="shared" si="40"/>
        <v>#DIV/0!</v>
      </c>
      <c r="N111" s="21"/>
      <c r="O111" s="155" t="e">
        <f t="shared" si="38"/>
        <v>#DIV/0!</v>
      </c>
      <c r="P111" s="21"/>
      <c r="Q111" s="21"/>
      <c r="R111" s="21"/>
      <c r="S111" s="21"/>
      <c r="T111" s="156">
        <f t="shared" si="41"/>
        <v>0</v>
      </c>
      <c r="U111" s="156">
        <f t="shared" si="42"/>
        <v>0</v>
      </c>
      <c r="Y111" s="152"/>
    </row>
    <row r="112" spans="1:25" s="41" customFormat="1" ht="12.75" hidden="1">
      <c r="A112" s="5" t="s">
        <v>3</v>
      </c>
      <c r="B112" s="27" t="s">
        <v>82</v>
      </c>
      <c r="C112" s="5" t="s">
        <v>39</v>
      </c>
      <c r="D112" s="49">
        <v>0</v>
      </c>
      <c r="E112" s="21">
        <v>0.5</v>
      </c>
      <c r="F112" s="21">
        <v>0.5</v>
      </c>
      <c r="G112" s="21">
        <v>0.5</v>
      </c>
      <c r="H112" s="21">
        <v>0.2</v>
      </c>
      <c r="I112" s="21"/>
      <c r="J112" s="21"/>
      <c r="K112" s="21">
        <v>0.2</v>
      </c>
      <c r="L112" s="62">
        <f t="shared" si="39"/>
        <v>100</v>
      </c>
      <c r="M112" s="62" t="e">
        <f t="shared" si="40"/>
        <v>#DIV/0!</v>
      </c>
      <c r="N112" s="21"/>
      <c r="O112" s="155">
        <f t="shared" si="38"/>
        <v>0</v>
      </c>
      <c r="P112" s="21">
        <v>0.2</v>
      </c>
      <c r="Q112" s="21">
        <v>0.2</v>
      </c>
      <c r="R112" s="21">
        <v>0.2</v>
      </c>
      <c r="S112" s="21">
        <v>0.2</v>
      </c>
      <c r="T112" s="156">
        <f t="shared" si="41"/>
        <v>1.9</v>
      </c>
      <c r="U112" s="156">
        <f t="shared" si="42"/>
        <v>0.8</v>
      </c>
      <c r="Y112" s="152"/>
    </row>
    <row r="113" spans="1:25" s="41" customFormat="1" ht="12.75" hidden="1">
      <c r="A113" s="7" t="s">
        <v>3</v>
      </c>
      <c r="B113" s="27" t="s">
        <v>63</v>
      </c>
      <c r="C113" s="5" t="s">
        <v>0</v>
      </c>
      <c r="D113" s="49"/>
      <c r="E113" s="21"/>
      <c r="F113" s="21"/>
      <c r="G113" s="21"/>
      <c r="H113" s="21"/>
      <c r="I113" s="21"/>
      <c r="J113" s="21"/>
      <c r="K113" s="21"/>
      <c r="L113" s="62" t="e">
        <f t="shared" si="39"/>
        <v>#DIV/0!</v>
      </c>
      <c r="M113" s="62" t="e">
        <f t="shared" si="40"/>
        <v>#DIV/0!</v>
      </c>
      <c r="N113" s="21"/>
      <c r="O113" s="155" t="e">
        <f t="shared" si="38"/>
        <v>#DIV/0!</v>
      </c>
      <c r="P113" s="21"/>
      <c r="Q113" s="21"/>
      <c r="R113" s="21">
        <v>0.2</v>
      </c>
      <c r="S113" s="21">
        <v>0.2</v>
      </c>
      <c r="T113" s="156">
        <f t="shared" si="41"/>
        <v>0</v>
      </c>
      <c r="U113" s="156">
        <f t="shared" si="42"/>
        <v>0.4</v>
      </c>
      <c r="Y113" s="152"/>
    </row>
    <row r="114" spans="1:25" s="41" customFormat="1" ht="12.75" hidden="1">
      <c r="A114" s="9"/>
      <c r="B114" s="28" t="s">
        <v>75</v>
      </c>
      <c r="C114" s="10" t="s">
        <v>55</v>
      </c>
      <c r="D114" s="49"/>
      <c r="E114" s="21"/>
      <c r="F114" s="21"/>
      <c r="G114" s="21"/>
      <c r="H114" s="21"/>
      <c r="I114" s="21"/>
      <c r="J114" s="21"/>
      <c r="K114" s="21"/>
      <c r="L114" s="62" t="e">
        <f t="shared" si="39"/>
        <v>#DIV/0!</v>
      </c>
      <c r="M114" s="62" t="e">
        <f t="shared" si="40"/>
        <v>#DIV/0!</v>
      </c>
      <c r="N114" s="21"/>
      <c r="O114" s="155" t="e">
        <f t="shared" si="38"/>
        <v>#DIV/0!</v>
      </c>
      <c r="P114" s="21"/>
      <c r="Q114" s="21"/>
      <c r="R114" s="21">
        <v>15</v>
      </c>
      <c r="S114" s="21">
        <v>15</v>
      </c>
      <c r="T114" s="156">
        <f t="shared" si="41"/>
        <v>0</v>
      </c>
      <c r="U114" s="156">
        <f t="shared" si="42"/>
        <v>30</v>
      </c>
      <c r="Y114" s="152"/>
    </row>
    <row r="115" spans="1:25" s="41" customFormat="1" ht="12.75" hidden="1">
      <c r="A115" s="9"/>
      <c r="B115" s="28" t="s">
        <v>57</v>
      </c>
      <c r="C115" s="10" t="s">
        <v>30</v>
      </c>
      <c r="D115" s="49"/>
      <c r="E115" s="21"/>
      <c r="F115" s="21"/>
      <c r="G115" s="21"/>
      <c r="H115" s="21"/>
      <c r="I115" s="21"/>
      <c r="J115" s="21"/>
      <c r="K115" s="21"/>
      <c r="L115" s="62" t="e">
        <f t="shared" si="39"/>
        <v>#DIV/0!</v>
      </c>
      <c r="M115" s="62" t="e">
        <f t="shared" si="40"/>
        <v>#DIV/0!</v>
      </c>
      <c r="N115" s="21"/>
      <c r="O115" s="155" t="e">
        <f t="shared" si="38"/>
        <v>#DIV/0!</v>
      </c>
      <c r="P115" s="21"/>
      <c r="Q115" s="21"/>
      <c r="R115" s="21">
        <f>R113*R114/10</f>
        <v>0.3</v>
      </c>
      <c r="S115" s="21">
        <f>S113*S114/10</f>
        <v>0.3</v>
      </c>
      <c r="T115" s="156">
        <f t="shared" si="41"/>
        <v>0</v>
      </c>
      <c r="U115" s="156">
        <f t="shared" si="42"/>
        <v>0.6</v>
      </c>
      <c r="Y115" s="152"/>
    </row>
    <row r="116" spans="1:25" s="41" customFormat="1" ht="12.75">
      <c r="A116" s="5" t="s">
        <v>37</v>
      </c>
      <c r="B116" s="27" t="s">
        <v>46</v>
      </c>
      <c r="C116" s="5" t="s">
        <v>0</v>
      </c>
      <c r="D116" s="49">
        <f aca="true" t="shared" si="65" ref="D116:S116">D117+D118+D119</f>
        <v>14</v>
      </c>
      <c r="E116" s="21">
        <f t="shared" si="65"/>
        <v>29.6</v>
      </c>
      <c r="F116" s="21">
        <f t="shared" si="65"/>
        <v>42.5</v>
      </c>
      <c r="G116" s="21">
        <f t="shared" si="65"/>
        <v>42.5</v>
      </c>
      <c r="H116" s="21">
        <f t="shared" si="65"/>
        <v>42.5</v>
      </c>
      <c r="I116" s="21">
        <v>50</v>
      </c>
      <c r="J116" s="21">
        <v>40</v>
      </c>
      <c r="K116" s="21">
        <v>40</v>
      </c>
      <c r="L116" s="62">
        <f t="shared" si="39"/>
        <v>94.11764705882352</v>
      </c>
      <c r="M116" s="62">
        <f t="shared" si="40"/>
        <v>80</v>
      </c>
      <c r="N116" s="21">
        <v>50</v>
      </c>
      <c r="O116" s="155">
        <f t="shared" si="38"/>
        <v>125</v>
      </c>
      <c r="P116" s="21">
        <f t="shared" si="65"/>
        <v>47</v>
      </c>
      <c r="Q116" s="21">
        <f t="shared" si="65"/>
        <v>48</v>
      </c>
      <c r="R116" s="21">
        <f t="shared" si="65"/>
        <v>49</v>
      </c>
      <c r="S116" s="21">
        <f t="shared" si="65"/>
        <v>50</v>
      </c>
      <c r="T116" s="156">
        <f t="shared" si="41"/>
        <v>197.1</v>
      </c>
      <c r="U116" s="156">
        <f t="shared" si="42"/>
        <v>244</v>
      </c>
      <c r="Y116" s="152"/>
    </row>
    <row r="117" spans="1:25" s="41" customFormat="1" ht="12.75" hidden="1">
      <c r="A117" s="7" t="s">
        <v>3</v>
      </c>
      <c r="B117" s="27" t="s">
        <v>94</v>
      </c>
      <c r="C117" s="5" t="s">
        <v>0</v>
      </c>
      <c r="D117" s="49">
        <v>14</v>
      </c>
      <c r="E117" s="21">
        <f>29.6-14</f>
        <v>15.600000000000001</v>
      </c>
      <c r="F117" s="21">
        <f>42.5-29.6</f>
        <v>12.899999999999999</v>
      </c>
      <c r="G117" s="21"/>
      <c r="H117" s="21"/>
      <c r="I117" s="21"/>
      <c r="J117" s="21"/>
      <c r="K117" s="21">
        <v>2.5</v>
      </c>
      <c r="L117" s="62" t="e">
        <f t="shared" si="39"/>
        <v>#DIV/0!</v>
      </c>
      <c r="M117" s="62" t="e">
        <f t="shared" si="40"/>
        <v>#DIV/0!</v>
      </c>
      <c r="N117" s="21"/>
      <c r="O117" s="155">
        <f t="shared" si="38"/>
        <v>0</v>
      </c>
      <c r="P117" s="21">
        <v>1</v>
      </c>
      <c r="Q117" s="21">
        <v>1</v>
      </c>
      <c r="R117" s="21">
        <v>1</v>
      </c>
      <c r="S117" s="21">
        <v>1</v>
      </c>
      <c r="T117" s="156">
        <f t="shared" si="41"/>
        <v>31</v>
      </c>
      <c r="U117" s="156">
        <f t="shared" si="42"/>
        <v>4</v>
      </c>
      <c r="Y117" s="152"/>
    </row>
    <row r="118" spans="1:25" s="41" customFormat="1" ht="12.75" hidden="1">
      <c r="A118" s="5" t="s">
        <v>3</v>
      </c>
      <c r="B118" s="27" t="s">
        <v>82</v>
      </c>
      <c r="C118" s="5" t="s">
        <v>39</v>
      </c>
      <c r="D118" s="49"/>
      <c r="E118" s="21">
        <v>14</v>
      </c>
      <c r="F118" s="21">
        <v>29.6</v>
      </c>
      <c r="G118" s="21">
        <v>42.5</v>
      </c>
      <c r="H118" s="21">
        <v>42.5</v>
      </c>
      <c r="I118" s="21"/>
      <c r="J118" s="21"/>
      <c r="K118" s="21">
        <f>42.5</f>
        <v>42.5</v>
      </c>
      <c r="L118" s="62">
        <f t="shared" si="39"/>
        <v>100</v>
      </c>
      <c r="M118" s="62" t="e">
        <f t="shared" si="40"/>
        <v>#DIV/0!</v>
      </c>
      <c r="N118" s="21"/>
      <c r="O118" s="155">
        <f t="shared" si="38"/>
        <v>0</v>
      </c>
      <c r="P118" s="21">
        <f>47-1-29.6</f>
        <v>16.4</v>
      </c>
      <c r="Q118" s="21">
        <f>48-1-42.5</f>
        <v>4.5</v>
      </c>
      <c r="R118" s="21">
        <f>49-1-42.5</f>
        <v>5.5</v>
      </c>
      <c r="S118" s="21">
        <f>50-1-45</f>
        <v>4</v>
      </c>
      <c r="T118" s="156">
        <f t="shared" si="41"/>
        <v>171.1</v>
      </c>
      <c r="U118" s="156">
        <f t="shared" si="42"/>
        <v>30.4</v>
      </c>
      <c r="Y118" s="152"/>
    </row>
    <row r="119" spans="1:25" s="41" customFormat="1" ht="12.75" hidden="1">
      <c r="A119" s="7" t="s">
        <v>3</v>
      </c>
      <c r="B119" s="27" t="s">
        <v>63</v>
      </c>
      <c r="C119" s="5" t="s">
        <v>0</v>
      </c>
      <c r="D119" s="49"/>
      <c r="E119" s="21"/>
      <c r="F119" s="21"/>
      <c r="G119" s="21"/>
      <c r="H119" s="21"/>
      <c r="I119" s="21"/>
      <c r="J119" s="21"/>
      <c r="K119" s="21"/>
      <c r="L119" s="62" t="e">
        <f t="shared" si="39"/>
        <v>#DIV/0!</v>
      </c>
      <c r="M119" s="62" t="e">
        <f t="shared" si="40"/>
        <v>#DIV/0!</v>
      </c>
      <c r="N119" s="21"/>
      <c r="O119" s="155" t="e">
        <f t="shared" si="38"/>
        <v>#DIV/0!</v>
      </c>
      <c r="P119" s="21">
        <v>29.6</v>
      </c>
      <c r="Q119" s="21">
        <v>42.5</v>
      </c>
      <c r="R119" s="21">
        <v>42.5</v>
      </c>
      <c r="S119" s="21">
        <v>45</v>
      </c>
      <c r="T119" s="156">
        <f t="shared" si="41"/>
        <v>0</v>
      </c>
      <c r="U119" s="156">
        <f t="shared" si="42"/>
        <v>159.6</v>
      </c>
      <c r="Y119" s="152"/>
    </row>
    <row r="120" spans="1:25" s="41" customFormat="1" ht="12.75" hidden="1">
      <c r="A120" s="9"/>
      <c r="B120" s="28" t="s">
        <v>105</v>
      </c>
      <c r="C120" s="10" t="s">
        <v>55</v>
      </c>
      <c r="D120" s="49"/>
      <c r="E120" s="21"/>
      <c r="F120" s="21"/>
      <c r="G120" s="21"/>
      <c r="H120" s="21"/>
      <c r="I120" s="21"/>
      <c r="J120" s="21"/>
      <c r="K120" s="21"/>
      <c r="L120" s="62" t="e">
        <f t="shared" si="39"/>
        <v>#DIV/0!</v>
      </c>
      <c r="M120" s="62" t="e">
        <f t="shared" si="40"/>
        <v>#DIV/0!</v>
      </c>
      <c r="N120" s="21"/>
      <c r="O120" s="155" t="e">
        <f t="shared" si="38"/>
        <v>#DIV/0!</v>
      </c>
      <c r="P120" s="21">
        <v>50</v>
      </c>
      <c r="Q120" s="21">
        <v>50</v>
      </c>
      <c r="R120" s="21">
        <v>50</v>
      </c>
      <c r="S120" s="21">
        <v>50</v>
      </c>
      <c r="T120" s="156">
        <f t="shared" si="41"/>
        <v>0</v>
      </c>
      <c r="U120" s="156">
        <f t="shared" si="42"/>
        <v>200</v>
      </c>
      <c r="Y120" s="152"/>
    </row>
    <row r="121" spans="1:25" s="41" customFormat="1" ht="12.75" hidden="1">
      <c r="A121" s="9"/>
      <c r="B121" s="28" t="s">
        <v>57</v>
      </c>
      <c r="C121" s="10" t="s">
        <v>30</v>
      </c>
      <c r="D121" s="49"/>
      <c r="E121" s="21"/>
      <c r="F121" s="21"/>
      <c r="G121" s="21"/>
      <c r="H121" s="21"/>
      <c r="I121" s="21"/>
      <c r="J121" s="21"/>
      <c r="K121" s="21"/>
      <c r="L121" s="62" t="e">
        <f t="shared" si="39"/>
        <v>#DIV/0!</v>
      </c>
      <c r="M121" s="62" t="e">
        <f t="shared" si="40"/>
        <v>#DIV/0!</v>
      </c>
      <c r="N121" s="21"/>
      <c r="O121" s="155" t="e">
        <f t="shared" si="38"/>
        <v>#DIV/0!</v>
      </c>
      <c r="P121" s="21">
        <f>P119*P120/10</f>
        <v>148</v>
      </c>
      <c r="Q121" s="21">
        <f>Q119*Q120/10</f>
        <v>212.5</v>
      </c>
      <c r="R121" s="21">
        <f>R119*R120/10</f>
        <v>212.5</v>
      </c>
      <c r="S121" s="21">
        <f>S119*S120/10</f>
        <v>225</v>
      </c>
      <c r="T121" s="156">
        <f t="shared" si="41"/>
        <v>0</v>
      </c>
      <c r="U121" s="156">
        <f t="shared" si="42"/>
        <v>798</v>
      </c>
      <c r="Y121" s="152"/>
    </row>
    <row r="122" spans="1:25" s="39" customFormat="1" ht="12.75">
      <c r="A122" s="2" t="s">
        <v>16</v>
      </c>
      <c r="B122" s="30" t="s">
        <v>64</v>
      </c>
      <c r="C122" s="2" t="s">
        <v>0</v>
      </c>
      <c r="D122" s="53">
        <f aca="true" t="shared" si="66" ref="D122:S122">D125+D127+D129</f>
        <v>24.93</v>
      </c>
      <c r="E122" s="24">
        <f t="shared" si="66"/>
        <v>33.89</v>
      </c>
      <c r="F122" s="24">
        <f t="shared" si="66"/>
        <v>72</v>
      </c>
      <c r="G122" s="24">
        <f t="shared" si="66"/>
        <v>80</v>
      </c>
      <c r="H122" s="24">
        <f t="shared" si="66"/>
        <v>82</v>
      </c>
      <c r="I122" s="24">
        <v>120</v>
      </c>
      <c r="J122" s="24">
        <v>92</v>
      </c>
      <c r="K122" s="24">
        <v>100</v>
      </c>
      <c r="L122" s="62">
        <f t="shared" si="39"/>
        <v>121.95121951219512</v>
      </c>
      <c r="M122" s="62">
        <f t="shared" si="40"/>
        <v>83.33333333333334</v>
      </c>
      <c r="N122" s="24">
        <v>120</v>
      </c>
      <c r="O122" s="155">
        <f t="shared" si="38"/>
        <v>120</v>
      </c>
      <c r="P122" s="24">
        <f t="shared" si="66"/>
        <v>160</v>
      </c>
      <c r="Q122" s="24">
        <f t="shared" si="66"/>
        <v>180</v>
      </c>
      <c r="R122" s="24">
        <f t="shared" si="66"/>
        <v>200</v>
      </c>
      <c r="S122" s="24">
        <f t="shared" si="66"/>
        <v>250</v>
      </c>
      <c r="T122" s="20">
        <f t="shared" si="41"/>
        <v>367.89</v>
      </c>
      <c r="U122" s="20">
        <f t="shared" si="42"/>
        <v>910</v>
      </c>
      <c r="Y122" s="152"/>
    </row>
    <row r="123" spans="1:25" s="39" customFormat="1" ht="12.75">
      <c r="A123" s="2"/>
      <c r="B123" s="27" t="s">
        <v>85</v>
      </c>
      <c r="C123" s="5" t="s">
        <v>77</v>
      </c>
      <c r="D123" s="49">
        <f>D126+D128+D132</f>
        <v>0.6756500000000001</v>
      </c>
      <c r="E123" s="49">
        <f aca="true" t="shared" si="67" ref="E123:K123">E126+E128+E132</f>
        <v>0.4744</v>
      </c>
      <c r="F123" s="49">
        <f t="shared" si="67"/>
        <v>1.94135</v>
      </c>
      <c r="G123" s="49">
        <f t="shared" si="67"/>
        <v>0.47200000000000003</v>
      </c>
      <c r="H123" s="49">
        <f t="shared" si="67"/>
        <v>1.845</v>
      </c>
      <c r="I123" s="49">
        <f t="shared" si="67"/>
        <v>3.647</v>
      </c>
      <c r="J123" s="49">
        <f t="shared" si="67"/>
        <v>0.557</v>
      </c>
      <c r="K123" s="49">
        <f t="shared" si="67"/>
        <v>3.3211000000000004</v>
      </c>
      <c r="L123" s="62">
        <f t="shared" si="39"/>
        <v>180.00542005420058</v>
      </c>
      <c r="M123" s="62">
        <f t="shared" si="40"/>
        <v>91.06388812722787</v>
      </c>
      <c r="N123" s="49">
        <f>N126+N128+N132</f>
        <v>6.758</v>
      </c>
      <c r="O123" s="155">
        <f t="shared" si="38"/>
        <v>203.48679654331394</v>
      </c>
      <c r="P123" s="49">
        <f>P126+P128+P132</f>
        <v>13.06</v>
      </c>
      <c r="Q123" s="49">
        <f>Q126+Q128+Q132</f>
        <v>13.378</v>
      </c>
      <c r="R123" s="49">
        <f>R126+R128+R132</f>
        <v>19.06</v>
      </c>
      <c r="S123" s="49">
        <f>S126+S128+S132</f>
        <v>23.56</v>
      </c>
      <c r="T123" s="156">
        <f>SUM(E123:H123)+K123</f>
        <v>8.05385</v>
      </c>
      <c r="U123" s="156">
        <f t="shared" si="42"/>
        <v>75.816</v>
      </c>
      <c r="Y123" s="152"/>
    </row>
    <row r="124" spans="1:25" s="39" customFormat="1" ht="12.75">
      <c r="A124" s="2"/>
      <c r="B124" s="27" t="s">
        <v>122</v>
      </c>
      <c r="C124" s="5" t="s">
        <v>77</v>
      </c>
      <c r="D124" s="49">
        <f>D123*30%*9.6%</f>
        <v>0.019458720000000002</v>
      </c>
      <c r="E124" s="21">
        <f aca="true" t="shared" si="68" ref="E124:S124">E123*30%*9.6%</f>
        <v>0.01366272</v>
      </c>
      <c r="F124" s="21">
        <f t="shared" si="68"/>
        <v>0.055910879999999996</v>
      </c>
      <c r="G124" s="21">
        <f t="shared" si="68"/>
        <v>0.0135936</v>
      </c>
      <c r="H124" s="21">
        <f t="shared" si="68"/>
        <v>0.053136</v>
      </c>
      <c r="I124" s="21">
        <f t="shared" si="68"/>
        <v>0.10503359999999999</v>
      </c>
      <c r="J124" s="21">
        <f>J123*30%*9.6%</f>
        <v>0.0160416</v>
      </c>
      <c r="K124" s="21">
        <f t="shared" si="68"/>
        <v>0.09564768000000001</v>
      </c>
      <c r="L124" s="62">
        <f t="shared" si="39"/>
        <v>180.00542005420056</v>
      </c>
      <c r="M124" s="62">
        <f t="shared" si="40"/>
        <v>91.06388812722787</v>
      </c>
      <c r="N124" s="21">
        <f>N123*30%*9.6%</f>
        <v>0.1946304</v>
      </c>
      <c r="O124" s="155">
        <f t="shared" si="38"/>
        <v>203.48679654331394</v>
      </c>
      <c r="P124" s="21">
        <f t="shared" si="68"/>
        <v>0.376128</v>
      </c>
      <c r="Q124" s="21">
        <f t="shared" si="68"/>
        <v>0.3852864</v>
      </c>
      <c r="R124" s="21">
        <f t="shared" si="68"/>
        <v>0.548928</v>
      </c>
      <c r="S124" s="21">
        <f t="shared" si="68"/>
        <v>0.678528</v>
      </c>
      <c r="T124" s="156">
        <f t="shared" si="41"/>
        <v>0.23195088000000003</v>
      </c>
      <c r="U124" s="156">
        <f t="shared" si="42"/>
        <v>2.1835008</v>
      </c>
      <c r="Y124" s="152"/>
    </row>
    <row r="125" spans="1:25" s="39" customFormat="1" ht="12.75">
      <c r="A125" s="2" t="s">
        <v>3</v>
      </c>
      <c r="B125" s="27" t="s">
        <v>80</v>
      </c>
      <c r="C125" s="5" t="s">
        <v>0</v>
      </c>
      <c r="D125" s="49">
        <v>13.28</v>
      </c>
      <c r="E125" s="21">
        <v>8.99</v>
      </c>
      <c r="F125" s="21">
        <f>72.05-33.9</f>
        <v>38.15</v>
      </c>
      <c r="G125" s="21">
        <f>80-72</f>
        <v>8</v>
      </c>
      <c r="H125" s="21">
        <f>82-80</f>
        <v>2</v>
      </c>
      <c r="I125" s="21">
        <f>I122-H122</f>
        <v>38</v>
      </c>
      <c r="J125" s="21">
        <f>J122-H122</f>
        <v>10</v>
      </c>
      <c r="K125" s="21">
        <f>100-82</f>
        <v>18</v>
      </c>
      <c r="L125" s="62">
        <f t="shared" si="39"/>
        <v>900</v>
      </c>
      <c r="M125" s="62">
        <f t="shared" si="40"/>
        <v>47.368421052631575</v>
      </c>
      <c r="N125" s="21">
        <f>N122-K122</f>
        <v>20</v>
      </c>
      <c r="O125" s="155">
        <f t="shared" si="38"/>
        <v>111.11111111111111</v>
      </c>
      <c r="P125" s="21">
        <v>20</v>
      </c>
      <c r="Q125" s="21">
        <v>20</v>
      </c>
      <c r="R125" s="21">
        <v>20</v>
      </c>
      <c r="S125" s="21">
        <v>50</v>
      </c>
      <c r="T125" s="156">
        <f t="shared" si="41"/>
        <v>75.14</v>
      </c>
      <c r="U125" s="156">
        <f t="shared" si="42"/>
        <v>130</v>
      </c>
      <c r="Y125" s="152"/>
    </row>
    <row r="126" spans="1:25" s="39" customFormat="1" ht="12.75">
      <c r="A126" s="2"/>
      <c r="B126" s="27" t="s">
        <v>93</v>
      </c>
      <c r="C126" s="5" t="s">
        <v>77</v>
      </c>
      <c r="D126" s="49">
        <f>D125*50/1000</f>
        <v>0.664</v>
      </c>
      <c r="E126" s="21">
        <f>E125*50/1000</f>
        <v>0.4495</v>
      </c>
      <c r="F126" s="21">
        <f aca="true" t="shared" si="69" ref="F126:S126">F125*50/1000</f>
        <v>1.9075</v>
      </c>
      <c r="G126" s="21">
        <f t="shared" si="69"/>
        <v>0.4</v>
      </c>
      <c r="H126" s="21">
        <f t="shared" si="69"/>
        <v>0.1</v>
      </c>
      <c r="I126" s="21">
        <f t="shared" si="69"/>
        <v>1.9</v>
      </c>
      <c r="J126" s="21">
        <f t="shared" si="69"/>
        <v>0.5</v>
      </c>
      <c r="K126" s="21">
        <f t="shared" si="69"/>
        <v>0.9</v>
      </c>
      <c r="L126" s="62">
        <f t="shared" si="39"/>
        <v>900</v>
      </c>
      <c r="M126" s="62">
        <f t="shared" si="40"/>
        <v>47.36842105263158</v>
      </c>
      <c r="N126" s="21">
        <f>N125*50/1000</f>
        <v>1</v>
      </c>
      <c r="O126" s="155">
        <f t="shared" si="38"/>
        <v>111.11111111111111</v>
      </c>
      <c r="P126" s="21">
        <f t="shared" si="69"/>
        <v>1</v>
      </c>
      <c r="Q126" s="21">
        <f t="shared" si="69"/>
        <v>1</v>
      </c>
      <c r="R126" s="21">
        <f t="shared" si="69"/>
        <v>1</v>
      </c>
      <c r="S126" s="21">
        <f t="shared" si="69"/>
        <v>2.5</v>
      </c>
      <c r="T126" s="156">
        <f t="shared" si="41"/>
        <v>3.757</v>
      </c>
      <c r="U126" s="156">
        <f t="shared" si="42"/>
        <v>6.5</v>
      </c>
      <c r="Y126" s="152"/>
    </row>
    <row r="127" spans="1:25" s="39" customFormat="1" ht="12.75">
      <c r="A127" s="2" t="s">
        <v>3</v>
      </c>
      <c r="B127" s="27" t="s">
        <v>82</v>
      </c>
      <c r="C127" s="5" t="s">
        <v>39</v>
      </c>
      <c r="D127" s="49">
        <f>24.93-13.28</f>
        <v>11.65</v>
      </c>
      <c r="E127" s="21">
        <v>24.9</v>
      </c>
      <c r="F127" s="21">
        <f>72.05-38.2</f>
        <v>33.849999999999994</v>
      </c>
      <c r="G127" s="21">
        <f>80-8</f>
        <v>72</v>
      </c>
      <c r="H127" s="21">
        <f>82-2-25</f>
        <v>55</v>
      </c>
      <c r="I127" s="21">
        <f>I122-I125-I129</f>
        <v>57</v>
      </c>
      <c r="J127" s="21">
        <f>J122-J125-J129</f>
        <v>57</v>
      </c>
      <c r="K127" s="21">
        <f>100-K125-K129</f>
        <v>48.1</v>
      </c>
      <c r="L127" s="62">
        <f t="shared" si="39"/>
        <v>87.45454545454547</v>
      </c>
      <c r="M127" s="62">
        <f t="shared" si="40"/>
        <v>84.38596491228071</v>
      </c>
      <c r="N127" s="21">
        <f>N122-N125-N129</f>
        <v>18</v>
      </c>
      <c r="O127" s="155">
        <f t="shared" si="38"/>
        <v>37.42203742203742</v>
      </c>
      <c r="P127" s="21">
        <f>160-20-80</f>
        <v>60</v>
      </c>
      <c r="Q127" s="21">
        <f>180-20-82</f>
        <v>78</v>
      </c>
      <c r="R127" s="21">
        <f>200-20-120</f>
        <v>60</v>
      </c>
      <c r="S127" s="21">
        <f>250-50-140</f>
        <v>60</v>
      </c>
      <c r="T127" s="156">
        <f t="shared" si="41"/>
        <v>233.85</v>
      </c>
      <c r="U127" s="156">
        <f t="shared" si="42"/>
        <v>276</v>
      </c>
      <c r="Y127" s="152"/>
    </row>
    <row r="128" spans="1:25" s="39" customFormat="1" ht="12.75">
      <c r="A128" s="2"/>
      <c r="B128" s="27" t="s">
        <v>95</v>
      </c>
      <c r="C128" s="5"/>
      <c r="D128" s="49">
        <f>D127*1/1000</f>
        <v>0.01165</v>
      </c>
      <c r="E128" s="21">
        <f>E127*1/1000</f>
        <v>0.0249</v>
      </c>
      <c r="F128" s="21">
        <f aca="true" t="shared" si="70" ref="F128:S128">F127*1/1000</f>
        <v>0.03384999999999999</v>
      </c>
      <c r="G128" s="21">
        <f t="shared" si="70"/>
        <v>0.072</v>
      </c>
      <c r="H128" s="21">
        <f t="shared" si="70"/>
        <v>0.055</v>
      </c>
      <c r="I128" s="21">
        <f t="shared" si="70"/>
        <v>0.057</v>
      </c>
      <c r="J128" s="21">
        <f t="shared" si="70"/>
        <v>0.057</v>
      </c>
      <c r="K128" s="21">
        <f t="shared" si="70"/>
        <v>0.048100000000000004</v>
      </c>
      <c r="L128" s="62">
        <f t="shared" si="39"/>
        <v>87.45454545454547</v>
      </c>
      <c r="M128" s="62">
        <f t="shared" si="40"/>
        <v>84.38596491228071</v>
      </c>
      <c r="N128" s="21">
        <f>N127*1/1000</f>
        <v>0.018</v>
      </c>
      <c r="O128" s="155">
        <f t="shared" si="38"/>
        <v>37.42203742203742</v>
      </c>
      <c r="P128" s="21">
        <f t="shared" si="70"/>
        <v>0.06</v>
      </c>
      <c r="Q128" s="21">
        <f t="shared" si="70"/>
        <v>0.078</v>
      </c>
      <c r="R128" s="21">
        <f t="shared" si="70"/>
        <v>0.06</v>
      </c>
      <c r="S128" s="21">
        <f t="shared" si="70"/>
        <v>0.06</v>
      </c>
      <c r="T128" s="156">
        <f t="shared" si="41"/>
        <v>0.23384999999999997</v>
      </c>
      <c r="U128" s="156">
        <f t="shared" si="42"/>
        <v>0.276</v>
      </c>
      <c r="Y128" s="152"/>
    </row>
    <row r="129" spans="1:25" s="39" customFormat="1" ht="12.75">
      <c r="A129" s="9" t="s">
        <v>3</v>
      </c>
      <c r="B129" s="28" t="s">
        <v>63</v>
      </c>
      <c r="C129" s="10" t="s">
        <v>0</v>
      </c>
      <c r="D129" s="49">
        <v>0</v>
      </c>
      <c r="E129" s="21">
        <v>0</v>
      </c>
      <c r="F129" s="21">
        <v>0</v>
      </c>
      <c r="G129" s="21">
        <v>0</v>
      </c>
      <c r="H129" s="21">
        <v>25</v>
      </c>
      <c r="I129" s="21">
        <v>25</v>
      </c>
      <c r="J129" s="21">
        <v>25</v>
      </c>
      <c r="K129" s="21">
        <v>33.9</v>
      </c>
      <c r="L129" s="62">
        <f t="shared" si="39"/>
        <v>135.6</v>
      </c>
      <c r="M129" s="62">
        <f t="shared" si="40"/>
        <v>135.6</v>
      </c>
      <c r="N129" s="21">
        <v>82</v>
      </c>
      <c r="O129" s="155">
        <f t="shared" si="38"/>
        <v>241.88790560471975</v>
      </c>
      <c r="P129" s="21">
        <v>80</v>
      </c>
      <c r="Q129" s="21">
        <v>82</v>
      </c>
      <c r="R129" s="21">
        <v>120</v>
      </c>
      <c r="S129" s="21">
        <v>140</v>
      </c>
      <c r="T129" s="156">
        <f t="shared" si="41"/>
        <v>58.9</v>
      </c>
      <c r="U129" s="156">
        <f t="shared" si="42"/>
        <v>504</v>
      </c>
      <c r="Y129" s="152"/>
    </row>
    <row r="130" spans="1:25" s="39" customFormat="1" ht="12.75">
      <c r="A130" s="9"/>
      <c r="B130" s="28" t="s">
        <v>4</v>
      </c>
      <c r="C130" s="10" t="s">
        <v>55</v>
      </c>
      <c r="D130" s="53"/>
      <c r="E130" s="24"/>
      <c r="F130" s="24"/>
      <c r="G130" s="24"/>
      <c r="H130" s="21">
        <v>60</v>
      </c>
      <c r="I130" s="21">
        <v>60</v>
      </c>
      <c r="J130" s="21"/>
      <c r="K130" s="21">
        <v>70</v>
      </c>
      <c r="L130" s="62">
        <f t="shared" si="39"/>
        <v>116.66666666666667</v>
      </c>
      <c r="M130" s="62">
        <f t="shared" si="40"/>
        <v>116.66666666666667</v>
      </c>
      <c r="N130" s="21">
        <v>70</v>
      </c>
      <c r="O130" s="155">
        <f t="shared" si="38"/>
        <v>100</v>
      </c>
      <c r="P130" s="21">
        <v>150</v>
      </c>
      <c r="Q130" s="21">
        <v>150</v>
      </c>
      <c r="R130" s="21">
        <v>150</v>
      </c>
      <c r="S130" s="21">
        <v>150</v>
      </c>
      <c r="T130" s="156">
        <f t="shared" si="41"/>
        <v>130</v>
      </c>
      <c r="U130" s="156">
        <f t="shared" si="42"/>
        <v>670</v>
      </c>
      <c r="Y130" s="152"/>
    </row>
    <row r="131" spans="1:25" s="39" customFormat="1" ht="12.75">
      <c r="A131" s="9"/>
      <c r="B131" s="28" t="s">
        <v>57</v>
      </c>
      <c r="C131" s="10" t="s">
        <v>30</v>
      </c>
      <c r="D131" s="49"/>
      <c r="E131" s="21"/>
      <c r="F131" s="21"/>
      <c r="G131" s="21"/>
      <c r="H131" s="21">
        <v>169</v>
      </c>
      <c r="I131" s="21">
        <v>169</v>
      </c>
      <c r="J131" s="21"/>
      <c r="K131" s="19">
        <f aca="true" t="shared" si="71" ref="K131:S131">K129*K130/10</f>
        <v>237.3</v>
      </c>
      <c r="L131" s="62">
        <f t="shared" si="39"/>
        <v>140.41420118343194</v>
      </c>
      <c r="M131" s="62">
        <f t="shared" si="40"/>
        <v>140.41420118343194</v>
      </c>
      <c r="N131" s="19">
        <f>N129*N130/10</f>
        <v>574</v>
      </c>
      <c r="O131" s="155">
        <f t="shared" si="38"/>
        <v>241.88790560471975</v>
      </c>
      <c r="P131" s="19">
        <f t="shared" si="71"/>
        <v>1200</v>
      </c>
      <c r="Q131" s="19">
        <f t="shared" si="71"/>
        <v>1230</v>
      </c>
      <c r="R131" s="19">
        <f t="shared" si="71"/>
        <v>1800</v>
      </c>
      <c r="S131" s="19">
        <f t="shared" si="71"/>
        <v>2100</v>
      </c>
      <c r="T131" s="156">
        <f t="shared" si="41"/>
        <v>406.3</v>
      </c>
      <c r="U131" s="156">
        <f t="shared" si="42"/>
        <v>6904</v>
      </c>
      <c r="Y131" s="152"/>
    </row>
    <row r="132" spans="1:25" s="39" customFormat="1" ht="12.75">
      <c r="A132" s="2"/>
      <c r="B132" s="27" t="s">
        <v>96</v>
      </c>
      <c r="C132" s="5" t="s">
        <v>77</v>
      </c>
      <c r="D132" s="49">
        <f>D131*7/1000</f>
        <v>0</v>
      </c>
      <c r="E132" s="21">
        <f>E131*7/1000</f>
        <v>0</v>
      </c>
      <c r="F132" s="21">
        <f>F131*7/1000</f>
        <v>0</v>
      </c>
      <c r="G132" s="21">
        <f>G131*7/1000</f>
        <v>0</v>
      </c>
      <c r="H132" s="21">
        <f>H131*10/1000</f>
        <v>1.69</v>
      </c>
      <c r="I132" s="21">
        <f>I131*10/1000</f>
        <v>1.69</v>
      </c>
      <c r="J132" s="21">
        <f>J131*10/1000</f>
        <v>0</v>
      </c>
      <c r="K132" s="21">
        <f>K131*10/1000</f>
        <v>2.373</v>
      </c>
      <c r="L132" s="62">
        <f t="shared" si="39"/>
        <v>140.41420118343197</v>
      </c>
      <c r="M132" s="62">
        <f t="shared" si="40"/>
        <v>140.41420118343197</v>
      </c>
      <c r="N132" s="21">
        <f>N131*10/1000</f>
        <v>5.74</v>
      </c>
      <c r="O132" s="155">
        <f t="shared" si="38"/>
        <v>241.88790560471975</v>
      </c>
      <c r="P132" s="21">
        <f>P131*10/1000</f>
        <v>12</v>
      </c>
      <c r="Q132" s="21">
        <f>Q131*10/1000</f>
        <v>12.3</v>
      </c>
      <c r="R132" s="21">
        <f>R131*10/1000</f>
        <v>18</v>
      </c>
      <c r="S132" s="21">
        <f>S131*10/1000</f>
        <v>21</v>
      </c>
      <c r="T132" s="156">
        <f t="shared" si="41"/>
        <v>4.063000000000001</v>
      </c>
      <c r="U132" s="156">
        <f t="shared" si="42"/>
        <v>69.03999999999999</v>
      </c>
      <c r="Y132" s="152"/>
    </row>
    <row r="133" spans="1:25" s="39" customFormat="1" ht="12.75">
      <c r="A133" s="2">
        <v>3</v>
      </c>
      <c r="B133" s="30" t="s">
        <v>54</v>
      </c>
      <c r="C133" s="2" t="s">
        <v>0</v>
      </c>
      <c r="D133" s="53"/>
      <c r="E133" s="24"/>
      <c r="F133" s="24"/>
      <c r="G133" s="24"/>
      <c r="H133" s="24"/>
      <c r="I133" s="24"/>
      <c r="J133" s="24"/>
      <c r="K133" s="24"/>
      <c r="L133" s="62"/>
      <c r="M133" s="62"/>
      <c r="N133" s="24"/>
      <c r="O133" s="155"/>
      <c r="P133" s="24">
        <v>40</v>
      </c>
      <c r="Q133" s="24">
        <v>60</v>
      </c>
      <c r="R133" s="24">
        <v>80</v>
      </c>
      <c r="S133" s="24">
        <v>100</v>
      </c>
      <c r="T133" s="20">
        <f t="shared" si="41"/>
        <v>0</v>
      </c>
      <c r="U133" s="20">
        <f t="shared" si="42"/>
        <v>280</v>
      </c>
      <c r="Y133" s="152"/>
    </row>
    <row r="134" spans="1:25" s="39" customFormat="1" ht="12.75">
      <c r="A134" s="9"/>
      <c r="B134" s="28" t="s">
        <v>4</v>
      </c>
      <c r="C134" s="10" t="s">
        <v>55</v>
      </c>
      <c r="D134" s="53"/>
      <c r="E134" s="24"/>
      <c r="F134" s="24"/>
      <c r="G134" s="24"/>
      <c r="H134" s="21"/>
      <c r="I134" s="21"/>
      <c r="J134" s="21"/>
      <c r="K134" s="45"/>
      <c r="L134" s="62"/>
      <c r="M134" s="62"/>
      <c r="N134" s="21"/>
      <c r="O134" s="155"/>
      <c r="P134" s="44">
        <v>210</v>
      </c>
      <c r="Q134" s="44">
        <v>220</v>
      </c>
      <c r="R134" s="44">
        <v>230</v>
      </c>
      <c r="S134" s="44">
        <v>240</v>
      </c>
      <c r="T134" s="156">
        <f t="shared" si="41"/>
        <v>0</v>
      </c>
      <c r="U134" s="156">
        <f t="shared" si="42"/>
        <v>900</v>
      </c>
      <c r="Y134" s="152"/>
    </row>
    <row r="135" spans="1:25" s="39" customFormat="1" ht="12.75">
      <c r="A135" s="9"/>
      <c r="B135" s="28" t="s">
        <v>57</v>
      </c>
      <c r="C135" s="10" t="s">
        <v>30</v>
      </c>
      <c r="D135" s="53"/>
      <c r="E135" s="24"/>
      <c r="F135" s="24"/>
      <c r="G135" s="24"/>
      <c r="H135" s="21"/>
      <c r="I135" s="21"/>
      <c r="J135" s="21"/>
      <c r="K135" s="45"/>
      <c r="L135" s="62"/>
      <c r="M135" s="62"/>
      <c r="N135" s="21"/>
      <c r="O135" s="155"/>
      <c r="P135" s="44">
        <f>P133*P134/10</f>
        <v>840</v>
      </c>
      <c r="Q135" s="44">
        <f>Q133*Q134/10</f>
        <v>1320</v>
      </c>
      <c r="R135" s="44">
        <f>R133*R134/10</f>
        <v>1840</v>
      </c>
      <c r="S135" s="44">
        <f>S133*S134/10</f>
        <v>2400</v>
      </c>
      <c r="T135" s="156">
        <f aca="true" t="shared" si="72" ref="T135:T182">SUM(E135:H135)+K135</f>
        <v>0</v>
      </c>
      <c r="U135" s="156">
        <f aca="true" t="shared" si="73" ref="U135:U182">N135+SUM(P135:S135)</f>
        <v>6400</v>
      </c>
      <c r="Y135" s="152"/>
    </row>
    <row r="136" spans="1:25" s="39" customFormat="1" ht="12.75">
      <c r="A136" s="9"/>
      <c r="B136" s="28" t="s">
        <v>114</v>
      </c>
      <c r="C136" s="10" t="s">
        <v>77</v>
      </c>
      <c r="D136" s="53"/>
      <c r="E136" s="21">
        <f>E135*10/1000</f>
        <v>0</v>
      </c>
      <c r="F136" s="21">
        <f>F135*10/1000</f>
        <v>0</v>
      </c>
      <c r="G136" s="21">
        <f>G135*10/1000</f>
        <v>0</v>
      </c>
      <c r="H136" s="21"/>
      <c r="I136" s="21"/>
      <c r="J136" s="21"/>
      <c r="K136" s="21"/>
      <c r="L136" s="62"/>
      <c r="M136" s="62"/>
      <c r="N136" s="21"/>
      <c r="O136" s="155"/>
      <c r="P136" s="21">
        <f>P135*10/1000</f>
        <v>8.4</v>
      </c>
      <c r="Q136" s="21">
        <f>Q135*10/1000</f>
        <v>13.2</v>
      </c>
      <c r="R136" s="21">
        <f>R135*10/1000</f>
        <v>18.4</v>
      </c>
      <c r="S136" s="21">
        <f>S135*10/1000</f>
        <v>24</v>
      </c>
      <c r="T136" s="156">
        <f t="shared" si="72"/>
        <v>0</v>
      </c>
      <c r="U136" s="156">
        <f t="shared" si="73"/>
        <v>64</v>
      </c>
      <c r="Y136" s="152"/>
    </row>
    <row r="137" spans="1:25" s="39" customFormat="1" ht="12.75">
      <c r="A137" s="9"/>
      <c r="B137" s="28" t="s">
        <v>122</v>
      </c>
      <c r="C137" s="10" t="s">
        <v>77</v>
      </c>
      <c r="D137" s="49">
        <f>D136*30%*9.6%</f>
        <v>0</v>
      </c>
      <c r="E137" s="21">
        <f aca="true" t="shared" si="74" ref="E137:S137">E136*30%*9.6%</f>
        <v>0</v>
      </c>
      <c r="F137" s="21">
        <f t="shared" si="74"/>
        <v>0</v>
      </c>
      <c r="G137" s="21">
        <f t="shared" si="74"/>
        <v>0</v>
      </c>
      <c r="H137" s="21"/>
      <c r="I137" s="21"/>
      <c r="J137" s="21"/>
      <c r="K137" s="21"/>
      <c r="L137" s="62"/>
      <c r="M137" s="62"/>
      <c r="N137" s="21"/>
      <c r="O137" s="155"/>
      <c r="P137" s="21">
        <f t="shared" si="74"/>
        <v>0.24192</v>
      </c>
      <c r="Q137" s="21">
        <f t="shared" si="74"/>
        <v>0.38015999999999994</v>
      </c>
      <c r="R137" s="21">
        <f t="shared" si="74"/>
        <v>0.52992</v>
      </c>
      <c r="S137" s="21">
        <f t="shared" si="74"/>
        <v>0.6911999999999999</v>
      </c>
      <c r="T137" s="156">
        <f t="shared" si="72"/>
        <v>0</v>
      </c>
      <c r="U137" s="156">
        <f t="shared" si="73"/>
        <v>1.8432</v>
      </c>
      <c r="Y137" s="152"/>
    </row>
    <row r="138" spans="1:25" s="39" customFormat="1" ht="12.75">
      <c r="A138" s="174" t="s">
        <v>5</v>
      </c>
      <c r="B138" s="30" t="s">
        <v>38</v>
      </c>
      <c r="C138" s="2" t="s">
        <v>0</v>
      </c>
      <c r="D138" s="53">
        <f>D141</f>
        <v>0</v>
      </c>
      <c r="E138" s="24">
        <f aca="true" t="shared" si="75" ref="E138:Q138">E141</f>
        <v>0</v>
      </c>
      <c r="F138" s="24">
        <f t="shared" si="75"/>
        <v>0</v>
      </c>
      <c r="G138" s="24">
        <f t="shared" si="75"/>
        <v>0</v>
      </c>
      <c r="H138" s="24">
        <f t="shared" si="75"/>
        <v>0</v>
      </c>
      <c r="I138" s="24"/>
      <c r="J138" s="24"/>
      <c r="K138" s="24">
        <f t="shared" si="75"/>
        <v>0</v>
      </c>
      <c r="L138" s="62"/>
      <c r="M138" s="62"/>
      <c r="N138" s="24"/>
      <c r="O138" s="155"/>
      <c r="P138" s="24">
        <f t="shared" si="75"/>
        <v>1000</v>
      </c>
      <c r="Q138" s="24">
        <f t="shared" si="75"/>
        <v>1500</v>
      </c>
      <c r="R138" s="24">
        <f>R141</f>
        <v>2000</v>
      </c>
      <c r="S138" s="24">
        <f>S141</f>
        <v>2549.16</v>
      </c>
      <c r="T138" s="20">
        <f t="shared" si="72"/>
        <v>0</v>
      </c>
      <c r="U138" s="20">
        <f t="shared" si="73"/>
        <v>7049.16</v>
      </c>
      <c r="Y138" s="152"/>
    </row>
    <row r="139" spans="1:25" s="41" customFormat="1" ht="12.75">
      <c r="A139" s="7"/>
      <c r="B139" s="27" t="s">
        <v>85</v>
      </c>
      <c r="C139" s="5" t="s">
        <v>77</v>
      </c>
      <c r="D139" s="49">
        <f aca="true" t="shared" si="76" ref="D139:R139">D143+D148</f>
        <v>0</v>
      </c>
      <c r="E139" s="21">
        <f t="shared" si="76"/>
        <v>0</v>
      </c>
      <c r="F139" s="21">
        <f t="shared" si="76"/>
        <v>3.8</v>
      </c>
      <c r="G139" s="21">
        <f t="shared" si="76"/>
        <v>3.8</v>
      </c>
      <c r="H139" s="21">
        <f t="shared" si="76"/>
        <v>5.619</v>
      </c>
      <c r="I139" s="21">
        <f t="shared" si="76"/>
        <v>5.619</v>
      </c>
      <c r="J139" s="21">
        <f t="shared" si="76"/>
        <v>1</v>
      </c>
      <c r="K139" s="21">
        <f>K143+K148</f>
        <v>5.619</v>
      </c>
      <c r="L139" s="62">
        <f aca="true" t="shared" si="77" ref="L139:L182">K139/H139*100</f>
        <v>100</v>
      </c>
      <c r="M139" s="62">
        <f aca="true" t="shared" si="78" ref="M139:M182">K139/I139*100</f>
        <v>100</v>
      </c>
      <c r="N139" s="21">
        <f>N143+N148</f>
        <v>5.619</v>
      </c>
      <c r="O139" s="155">
        <f aca="true" t="shared" si="79" ref="O139:O182">N139/K139*100</f>
        <v>100</v>
      </c>
      <c r="P139" s="21">
        <f t="shared" si="76"/>
        <v>20.619</v>
      </c>
      <c r="Q139" s="21">
        <f t="shared" si="76"/>
        <v>20.619</v>
      </c>
      <c r="R139" s="21">
        <f t="shared" si="76"/>
        <v>20.619</v>
      </c>
      <c r="S139" s="21">
        <f>S143+S145+S147+S148</f>
        <v>22.8938</v>
      </c>
      <c r="T139" s="156">
        <f t="shared" si="72"/>
        <v>18.838</v>
      </c>
      <c r="U139" s="156">
        <f t="shared" si="73"/>
        <v>90.3698</v>
      </c>
      <c r="Y139" s="152"/>
    </row>
    <row r="140" spans="1:25" s="41" customFormat="1" ht="12.75">
      <c r="A140" s="7"/>
      <c r="B140" s="27" t="s">
        <v>122</v>
      </c>
      <c r="C140" s="5" t="s">
        <v>77</v>
      </c>
      <c r="D140" s="49">
        <f>D139*30%*9.6%</f>
        <v>0</v>
      </c>
      <c r="E140" s="21">
        <f aca="true" t="shared" si="80" ref="E140:S140">E139*30%*9.6%</f>
        <v>0</v>
      </c>
      <c r="F140" s="21">
        <f t="shared" si="80"/>
        <v>0.10944</v>
      </c>
      <c r="G140" s="21">
        <f t="shared" si="80"/>
        <v>0.10944</v>
      </c>
      <c r="H140" s="21">
        <f t="shared" si="80"/>
        <v>0.1618272</v>
      </c>
      <c r="I140" s="21"/>
      <c r="J140" s="21"/>
      <c r="K140" s="21">
        <f t="shared" si="80"/>
        <v>0.1618272</v>
      </c>
      <c r="L140" s="62">
        <f t="shared" si="77"/>
        <v>100</v>
      </c>
      <c r="M140" s="62"/>
      <c r="N140" s="21"/>
      <c r="O140" s="155">
        <f t="shared" si="79"/>
        <v>0</v>
      </c>
      <c r="P140" s="21">
        <f t="shared" si="80"/>
        <v>0.5938272</v>
      </c>
      <c r="Q140" s="21">
        <f t="shared" si="80"/>
        <v>0.5938272</v>
      </c>
      <c r="R140" s="21">
        <f t="shared" si="80"/>
        <v>0.5938272</v>
      </c>
      <c r="S140" s="21">
        <f t="shared" si="80"/>
        <v>0.65934144</v>
      </c>
      <c r="T140" s="156">
        <f t="shared" si="72"/>
        <v>0.5425344000000001</v>
      </c>
      <c r="U140" s="156">
        <f t="shared" si="73"/>
        <v>2.4408230399999997</v>
      </c>
      <c r="Y140" s="152"/>
    </row>
    <row r="141" spans="1:25" s="177" customFormat="1" ht="12.75">
      <c r="A141" s="175">
        <v>1</v>
      </c>
      <c r="B141" s="13" t="s">
        <v>107</v>
      </c>
      <c r="C141" s="33" t="s">
        <v>0</v>
      </c>
      <c r="D141" s="176"/>
      <c r="E141" s="35"/>
      <c r="F141" s="35"/>
      <c r="G141" s="35"/>
      <c r="H141" s="34"/>
      <c r="I141" s="34"/>
      <c r="J141" s="34"/>
      <c r="K141" s="46"/>
      <c r="L141" s="62"/>
      <c r="M141" s="62"/>
      <c r="N141" s="34"/>
      <c r="O141" s="155"/>
      <c r="P141" s="47">
        <f>P142+P144</f>
        <v>1000</v>
      </c>
      <c r="Q141" s="47">
        <f>Q142+Q144</f>
        <v>1500</v>
      </c>
      <c r="R141" s="47">
        <f>R142+R144</f>
        <v>2000</v>
      </c>
      <c r="S141" s="47">
        <f>S142+S144</f>
        <v>2549.16</v>
      </c>
      <c r="T141" s="156">
        <f t="shared" si="72"/>
        <v>0</v>
      </c>
      <c r="U141" s="156">
        <f t="shared" si="73"/>
        <v>7049.16</v>
      </c>
      <c r="Y141" s="152"/>
    </row>
    <row r="142" spans="1:25" s="177" customFormat="1" ht="12.75">
      <c r="A142" s="175"/>
      <c r="B142" s="13" t="s">
        <v>80</v>
      </c>
      <c r="C142" s="33"/>
      <c r="D142" s="176"/>
      <c r="E142" s="35"/>
      <c r="F142" s="35"/>
      <c r="G142" s="35"/>
      <c r="H142" s="34"/>
      <c r="I142" s="34"/>
      <c r="J142" s="34"/>
      <c r="K142" s="46"/>
      <c r="L142" s="62"/>
      <c r="M142" s="62"/>
      <c r="N142" s="34"/>
      <c r="O142" s="155"/>
      <c r="P142" s="47">
        <v>500</v>
      </c>
      <c r="Q142" s="47">
        <v>500</v>
      </c>
      <c r="R142" s="47">
        <v>500</v>
      </c>
      <c r="S142" s="47">
        <v>549.16</v>
      </c>
      <c r="T142" s="156">
        <f t="shared" si="72"/>
        <v>0</v>
      </c>
      <c r="U142" s="156">
        <f t="shared" si="73"/>
        <v>2049.16</v>
      </c>
      <c r="Y142" s="152"/>
    </row>
    <row r="143" spans="1:25" s="39" customFormat="1" ht="12.75">
      <c r="A143" s="7"/>
      <c r="B143" s="27" t="s">
        <v>98</v>
      </c>
      <c r="C143" s="5" t="s">
        <v>77</v>
      </c>
      <c r="D143" s="53"/>
      <c r="E143" s="24"/>
      <c r="F143" s="24"/>
      <c r="G143" s="24"/>
      <c r="H143" s="21"/>
      <c r="I143" s="21"/>
      <c r="J143" s="21"/>
      <c r="K143" s="45"/>
      <c r="L143" s="62"/>
      <c r="M143" s="62"/>
      <c r="N143" s="21"/>
      <c r="O143" s="155"/>
      <c r="P143" s="44">
        <f>P142*30/1000</f>
        <v>15</v>
      </c>
      <c r="Q143" s="44">
        <f>Q142*30/1000</f>
        <v>15</v>
      </c>
      <c r="R143" s="44">
        <f>R142*30/1000</f>
        <v>15</v>
      </c>
      <c r="S143" s="44">
        <f>S142*30/1000</f>
        <v>16.4748</v>
      </c>
      <c r="T143" s="156">
        <f t="shared" si="72"/>
        <v>0</v>
      </c>
      <c r="U143" s="156">
        <f t="shared" si="73"/>
        <v>61.4748</v>
      </c>
      <c r="Y143" s="152"/>
    </row>
    <row r="144" spans="1:25" s="39" customFormat="1" ht="12.75">
      <c r="A144" s="7"/>
      <c r="B144" s="27" t="s">
        <v>82</v>
      </c>
      <c r="C144" s="5"/>
      <c r="D144" s="53"/>
      <c r="E144" s="24"/>
      <c r="F144" s="24"/>
      <c r="G144" s="24"/>
      <c r="H144" s="21"/>
      <c r="I144" s="21"/>
      <c r="J144" s="21"/>
      <c r="K144" s="45"/>
      <c r="L144" s="62"/>
      <c r="M144" s="62"/>
      <c r="N144" s="21"/>
      <c r="O144" s="155"/>
      <c r="P144" s="44">
        <v>500</v>
      </c>
      <c r="Q144" s="44">
        <v>1000</v>
      </c>
      <c r="R144" s="44">
        <v>1500</v>
      </c>
      <c r="S144" s="44">
        <v>2000</v>
      </c>
      <c r="T144" s="156">
        <f t="shared" si="72"/>
        <v>0</v>
      </c>
      <c r="U144" s="156">
        <f t="shared" si="73"/>
        <v>5000</v>
      </c>
      <c r="Y144" s="152"/>
    </row>
    <row r="145" spans="1:25" s="39" customFormat="1" ht="12.75">
      <c r="A145" s="7"/>
      <c r="B145" s="27" t="s">
        <v>116</v>
      </c>
      <c r="C145" s="5" t="s">
        <v>77</v>
      </c>
      <c r="D145" s="53"/>
      <c r="E145" s="178"/>
      <c r="F145" s="178"/>
      <c r="G145" s="178"/>
      <c r="H145" s="37"/>
      <c r="I145" s="37"/>
      <c r="J145" s="37"/>
      <c r="K145" s="36"/>
      <c r="L145" s="62"/>
      <c r="M145" s="62"/>
      <c r="N145" s="37"/>
      <c r="O145" s="155"/>
      <c r="P145" s="31"/>
      <c r="Q145" s="31"/>
      <c r="R145" s="31"/>
      <c r="S145" s="31">
        <f>S144*4/10000</f>
        <v>0.8</v>
      </c>
      <c r="T145" s="156">
        <f t="shared" si="72"/>
        <v>0</v>
      </c>
      <c r="U145" s="156">
        <f t="shared" si="73"/>
        <v>0.8</v>
      </c>
      <c r="Y145" s="152"/>
    </row>
    <row r="146" spans="1:25" s="39" customFormat="1" ht="12.75">
      <c r="A146" s="7"/>
      <c r="B146" s="27" t="s">
        <v>63</v>
      </c>
      <c r="C146" s="5"/>
      <c r="D146" s="53"/>
      <c r="E146" s="178"/>
      <c r="F146" s="178"/>
      <c r="G146" s="178"/>
      <c r="H146" s="37"/>
      <c r="I146" s="37"/>
      <c r="J146" s="37"/>
      <c r="K146" s="36"/>
      <c r="L146" s="62"/>
      <c r="M146" s="62"/>
      <c r="N146" s="37"/>
      <c r="O146" s="155"/>
      <c r="P146" s="31"/>
      <c r="Q146" s="31"/>
      <c r="R146" s="31"/>
      <c r="S146" s="31"/>
      <c r="T146" s="156">
        <f t="shared" si="72"/>
        <v>0</v>
      </c>
      <c r="U146" s="156">
        <f t="shared" si="73"/>
        <v>0</v>
      </c>
      <c r="Y146" s="152"/>
    </row>
    <row r="147" spans="1:25" s="39" customFormat="1" ht="12.75">
      <c r="A147" s="7"/>
      <c r="B147" s="27" t="s">
        <v>114</v>
      </c>
      <c r="C147" s="5"/>
      <c r="D147" s="53"/>
      <c r="E147" s="178"/>
      <c r="F147" s="178"/>
      <c r="G147" s="178"/>
      <c r="H147" s="37"/>
      <c r="I147" s="37"/>
      <c r="J147" s="37"/>
      <c r="K147" s="36"/>
      <c r="L147" s="62"/>
      <c r="M147" s="62"/>
      <c r="N147" s="37"/>
      <c r="O147" s="155"/>
      <c r="P147" s="31"/>
      <c r="Q147" s="31"/>
      <c r="R147" s="31"/>
      <c r="S147" s="31">
        <f>S146*50/1000</f>
        <v>0</v>
      </c>
      <c r="T147" s="156">
        <f t="shared" si="72"/>
        <v>0</v>
      </c>
      <c r="U147" s="156">
        <f t="shared" si="73"/>
        <v>0</v>
      </c>
      <c r="Y147" s="152"/>
    </row>
    <row r="148" spans="1:25" s="39" customFormat="1" ht="12.75">
      <c r="A148" s="7">
        <v>2</v>
      </c>
      <c r="B148" s="27" t="s">
        <v>115</v>
      </c>
      <c r="C148" s="5" t="s">
        <v>77</v>
      </c>
      <c r="D148" s="53"/>
      <c r="E148" s="24"/>
      <c r="F148" s="21">
        <v>3.8</v>
      </c>
      <c r="G148" s="34">
        <v>3.8</v>
      </c>
      <c r="H148" s="34">
        <f>0.725+4.894</f>
        <v>5.619</v>
      </c>
      <c r="I148" s="34">
        <f aca="true" t="shared" si="81" ref="I148:S148">0.725+4.894</f>
        <v>5.619</v>
      </c>
      <c r="J148" s="34">
        <v>1</v>
      </c>
      <c r="K148" s="34">
        <f t="shared" si="81"/>
        <v>5.619</v>
      </c>
      <c r="L148" s="62">
        <f t="shared" si="77"/>
        <v>100</v>
      </c>
      <c r="M148" s="62">
        <f t="shared" si="78"/>
        <v>100</v>
      </c>
      <c r="N148" s="34">
        <f>0.725+4.894</f>
        <v>5.619</v>
      </c>
      <c r="O148" s="155">
        <f t="shared" si="79"/>
        <v>100</v>
      </c>
      <c r="P148" s="34">
        <f t="shared" si="81"/>
        <v>5.619</v>
      </c>
      <c r="Q148" s="34">
        <f t="shared" si="81"/>
        <v>5.619</v>
      </c>
      <c r="R148" s="34">
        <f t="shared" si="81"/>
        <v>5.619</v>
      </c>
      <c r="S148" s="34">
        <f t="shared" si="81"/>
        <v>5.619</v>
      </c>
      <c r="T148" s="156">
        <f t="shared" si="72"/>
        <v>18.838</v>
      </c>
      <c r="U148" s="156">
        <f t="shared" si="73"/>
        <v>28.095</v>
      </c>
      <c r="Y148" s="152"/>
    </row>
    <row r="149" spans="1:25" s="39" customFormat="1" ht="12.75">
      <c r="A149" s="2" t="s">
        <v>6</v>
      </c>
      <c r="B149" s="30" t="s">
        <v>18</v>
      </c>
      <c r="C149" s="2"/>
      <c r="D149" s="53"/>
      <c r="E149" s="24"/>
      <c r="F149" s="24"/>
      <c r="G149" s="24"/>
      <c r="H149" s="24"/>
      <c r="I149" s="24"/>
      <c r="J149" s="24"/>
      <c r="K149" s="45"/>
      <c r="L149" s="62"/>
      <c r="M149" s="62"/>
      <c r="N149" s="24"/>
      <c r="O149" s="155"/>
      <c r="P149" s="44"/>
      <c r="Q149" s="44"/>
      <c r="R149" s="44"/>
      <c r="S149" s="44"/>
      <c r="T149" s="156">
        <f t="shared" si="72"/>
        <v>0</v>
      </c>
      <c r="U149" s="156">
        <f t="shared" si="73"/>
        <v>0</v>
      </c>
      <c r="Y149" s="152"/>
    </row>
    <row r="150" spans="1:25" s="41" customFormat="1" ht="12.75">
      <c r="A150" s="5"/>
      <c r="B150" s="27" t="s">
        <v>89</v>
      </c>
      <c r="C150" s="5" t="s">
        <v>77</v>
      </c>
      <c r="D150" s="49">
        <f>D153+D168</f>
        <v>10.564195000000002</v>
      </c>
      <c r="E150" s="21">
        <f>E153+E168</f>
        <v>11.66694</v>
      </c>
      <c r="F150" s="21">
        <f aca="true" t="shared" si="82" ref="F150:S150">F153+F168</f>
        <v>11.629999999999999</v>
      </c>
      <c r="G150" s="21">
        <f t="shared" si="82"/>
        <v>36.585</v>
      </c>
      <c r="H150" s="21">
        <f t="shared" si="82"/>
        <v>25.773670000000003</v>
      </c>
      <c r="I150" s="21">
        <f t="shared" si="82"/>
        <v>46.300000000000004</v>
      </c>
      <c r="J150" s="21">
        <f t="shared" si="82"/>
        <v>13.038329999999998</v>
      </c>
      <c r="K150" s="21">
        <f t="shared" si="82"/>
        <v>24.2125</v>
      </c>
      <c r="L150" s="62">
        <f t="shared" si="77"/>
        <v>93.94277182876942</v>
      </c>
      <c r="M150" s="62">
        <f t="shared" si="78"/>
        <v>52.29481641468682</v>
      </c>
      <c r="N150" s="21">
        <f>N153+N168</f>
        <v>45.381617500000004</v>
      </c>
      <c r="O150" s="155">
        <f t="shared" si="79"/>
        <v>187.4305317501291</v>
      </c>
      <c r="P150" s="21">
        <f t="shared" si="82"/>
        <v>49.845</v>
      </c>
      <c r="Q150" s="21">
        <f t="shared" si="82"/>
        <v>55.55499999999999</v>
      </c>
      <c r="R150" s="21">
        <f t="shared" si="82"/>
        <v>64.745</v>
      </c>
      <c r="S150" s="21">
        <f t="shared" si="82"/>
        <v>71.58500000000001</v>
      </c>
      <c r="T150" s="156">
        <f t="shared" si="72"/>
        <v>109.86811</v>
      </c>
      <c r="U150" s="156">
        <f t="shared" si="73"/>
        <v>287.11161749999997</v>
      </c>
      <c r="Y150" s="152"/>
    </row>
    <row r="151" spans="1:25" s="41" customFormat="1" ht="12.75">
      <c r="A151" s="5"/>
      <c r="B151" s="27" t="s">
        <v>122</v>
      </c>
      <c r="C151" s="5" t="s">
        <v>77</v>
      </c>
      <c r="D151" s="49">
        <f>D150*30%*9.6%</f>
        <v>0.30424881600000003</v>
      </c>
      <c r="E151" s="21">
        <f aca="true" t="shared" si="83" ref="E151:S151">E150*30%*9.6%</f>
        <v>0.336007872</v>
      </c>
      <c r="F151" s="21">
        <f t="shared" si="83"/>
        <v>0.33494399999999996</v>
      </c>
      <c r="G151" s="21">
        <f t="shared" si="83"/>
        <v>1.0536480000000001</v>
      </c>
      <c r="H151" s="21">
        <f t="shared" si="83"/>
        <v>0.742281696</v>
      </c>
      <c r="I151" s="21">
        <f t="shared" si="83"/>
        <v>1.3334400000000002</v>
      </c>
      <c r="J151" s="21">
        <f>J150*30%*9.6%</f>
        <v>0.37550390399999994</v>
      </c>
      <c r="K151" s="21">
        <f t="shared" si="83"/>
        <v>0.6973199999999999</v>
      </c>
      <c r="L151" s="62">
        <f t="shared" si="77"/>
        <v>93.94277182876942</v>
      </c>
      <c r="M151" s="62">
        <f t="shared" si="78"/>
        <v>52.29481641468682</v>
      </c>
      <c r="N151" s="21">
        <f>N150*30%*9.6%</f>
        <v>1.3069905840000002</v>
      </c>
      <c r="O151" s="155">
        <f t="shared" si="79"/>
        <v>187.43053175012912</v>
      </c>
      <c r="P151" s="21">
        <f t="shared" si="83"/>
        <v>1.435536</v>
      </c>
      <c r="Q151" s="21">
        <f t="shared" si="83"/>
        <v>1.5999839999999996</v>
      </c>
      <c r="R151" s="21">
        <f t="shared" si="83"/>
        <v>1.864656</v>
      </c>
      <c r="S151" s="21">
        <f t="shared" si="83"/>
        <v>2.061648</v>
      </c>
      <c r="T151" s="156">
        <f t="shared" si="72"/>
        <v>3.164201568</v>
      </c>
      <c r="U151" s="156">
        <f t="shared" si="73"/>
        <v>8.268814584000001</v>
      </c>
      <c r="Y151" s="152"/>
    </row>
    <row r="152" spans="1:28" s="39" customFormat="1" ht="16.5" customHeight="1">
      <c r="A152" s="2">
        <v>1</v>
      </c>
      <c r="B152" s="30" t="s">
        <v>19</v>
      </c>
      <c r="C152" s="2" t="s">
        <v>27</v>
      </c>
      <c r="D152" s="20">
        <f>D154+D157+D160+D163</f>
        <v>1263</v>
      </c>
      <c r="E152" s="20">
        <f aca="true" t="shared" si="84" ref="E152:S152">E154+E157+E160+E163</f>
        <v>2845</v>
      </c>
      <c r="F152" s="20">
        <f t="shared" si="84"/>
        <v>4840</v>
      </c>
      <c r="G152" s="20">
        <f t="shared" si="84"/>
        <v>4335</v>
      </c>
      <c r="H152" s="20">
        <f t="shared" si="84"/>
        <v>3220</v>
      </c>
      <c r="I152" s="20">
        <f t="shared" si="84"/>
        <v>7370</v>
      </c>
      <c r="J152" s="20">
        <f t="shared" si="84"/>
        <v>3070</v>
      </c>
      <c r="K152" s="20">
        <f t="shared" si="84"/>
        <v>3615</v>
      </c>
      <c r="L152" s="62">
        <f t="shared" si="77"/>
        <v>112.26708074534162</v>
      </c>
      <c r="M152" s="62">
        <f t="shared" si="78"/>
        <v>49.05020352781547</v>
      </c>
      <c r="N152" s="20">
        <f>N154+N157+N160+N163</f>
        <v>7370</v>
      </c>
      <c r="O152" s="155">
        <f t="shared" si="79"/>
        <v>203.87275242047025</v>
      </c>
      <c r="P152" s="20">
        <f t="shared" si="84"/>
        <v>7980</v>
      </c>
      <c r="Q152" s="20">
        <f t="shared" si="84"/>
        <v>10035</v>
      </c>
      <c r="R152" s="20">
        <f t="shared" si="84"/>
        <v>11090</v>
      </c>
      <c r="S152" s="20">
        <f t="shared" si="84"/>
        <v>12200</v>
      </c>
      <c r="T152" s="20">
        <f t="shared" si="72"/>
        <v>18855</v>
      </c>
      <c r="U152" s="20">
        <f t="shared" si="73"/>
        <v>48675</v>
      </c>
      <c r="V152" s="153"/>
      <c r="W152" s="153"/>
      <c r="X152" s="153"/>
      <c r="Y152" s="152"/>
      <c r="Z152" s="153"/>
      <c r="AA152" s="153"/>
      <c r="AB152" s="153"/>
    </row>
    <row r="153" spans="1:25" s="41" customFormat="1" ht="16.5" customHeight="1">
      <c r="A153" s="5"/>
      <c r="B153" s="27" t="s">
        <v>90</v>
      </c>
      <c r="C153" s="10" t="s">
        <v>77</v>
      </c>
      <c r="D153" s="49">
        <f>D156+D159+D162+D165</f>
        <v>8.491000000000001</v>
      </c>
      <c r="E153" s="21">
        <f>E156+E159+E162+E165</f>
        <v>8.9205</v>
      </c>
      <c r="F153" s="21">
        <f>F156+F159+F162+F165</f>
        <v>8.84</v>
      </c>
      <c r="G153" s="21">
        <f aca="true" t="shared" si="85" ref="G153:S153">G156+G159+G162+G165</f>
        <v>31.86</v>
      </c>
      <c r="H153" s="21">
        <f t="shared" si="85"/>
        <v>21.205000000000002</v>
      </c>
      <c r="I153" s="21">
        <f t="shared" si="85"/>
        <v>41.575</v>
      </c>
      <c r="J153" s="21">
        <f>J156+J159+J162+J165</f>
        <v>8.562</v>
      </c>
      <c r="K153" s="21">
        <f t="shared" si="85"/>
        <v>19.4875</v>
      </c>
      <c r="L153" s="62">
        <f t="shared" si="77"/>
        <v>91.90049516623438</v>
      </c>
      <c r="M153" s="62">
        <f t="shared" si="78"/>
        <v>46.87312086590499</v>
      </c>
      <c r="N153" s="21">
        <f>N156+N159+N162+N165</f>
        <v>41.575</v>
      </c>
      <c r="O153" s="155">
        <f t="shared" si="79"/>
        <v>213.3418858242463</v>
      </c>
      <c r="P153" s="21">
        <f t="shared" si="85"/>
        <v>44.58</v>
      </c>
      <c r="Q153" s="21">
        <f t="shared" si="85"/>
        <v>50.019999999999996</v>
      </c>
      <c r="R153" s="21">
        <f t="shared" si="85"/>
        <v>58.94</v>
      </c>
      <c r="S153" s="21">
        <f t="shared" si="85"/>
        <v>65.51</v>
      </c>
      <c r="T153" s="156">
        <f t="shared" si="72"/>
        <v>90.313</v>
      </c>
      <c r="U153" s="156">
        <f t="shared" si="73"/>
        <v>260.625</v>
      </c>
      <c r="Y153" s="152"/>
    </row>
    <row r="154" spans="1:25" s="41" customFormat="1" ht="12.75">
      <c r="A154" s="9" t="s">
        <v>3</v>
      </c>
      <c r="B154" s="27" t="s">
        <v>21</v>
      </c>
      <c r="C154" s="5" t="s">
        <v>27</v>
      </c>
      <c r="D154" s="49">
        <v>7</v>
      </c>
      <c r="E154" s="21">
        <v>37</v>
      </c>
      <c r="F154" s="21">
        <v>80</v>
      </c>
      <c r="G154" s="21">
        <v>35</v>
      </c>
      <c r="H154" s="21">
        <v>31</v>
      </c>
      <c r="I154" s="21">
        <v>120</v>
      </c>
      <c r="J154" s="21">
        <v>19</v>
      </c>
      <c r="K154" s="21">
        <v>25</v>
      </c>
      <c r="L154" s="62">
        <f t="shared" si="77"/>
        <v>80.64516129032258</v>
      </c>
      <c r="M154" s="62">
        <f t="shared" si="78"/>
        <v>20.833333333333336</v>
      </c>
      <c r="N154" s="21">
        <v>120</v>
      </c>
      <c r="O154" s="155">
        <f t="shared" si="79"/>
        <v>480</v>
      </c>
      <c r="P154" s="21">
        <v>80</v>
      </c>
      <c r="Q154" s="21">
        <v>85</v>
      </c>
      <c r="R154" s="21">
        <v>90</v>
      </c>
      <c r="S154" s="21">
        <v>100</v>
      </c>
      <c r="T154" s="156">
        <f t="shared" si="72"/>
        <v>208</v>
      </c>
      <c r="U154" s="156">
        <f t="shared" si="73"/>
        <v>475</v>
      </c>
      <c r="Y154" s="152"/>
    </row>
    <row r="155" spans="2:25" s="171" customFormat="1" ht="16.5" customHeight="1">
      <c r="B155" s="28" t="s">
        <v>88</v>
      </c>
      <c r="C155" s="10" t="s">
        <v>86</v>
      </c>
      <c r="D155" s="49">
        <f>D154*1.5*0.4*150/1000</f>
        <v>0.63</v>
      </c>
      <c r="E155" s="21">
        <f>D154*1.5*0.4*150/1000</f>
        <v>0.63</v>
      </c>
      <c r="F155" s="21">
        <v>0.6</v>
      </c>
      <c r="G155" s="21">
        <f>F154*1.5*0.4*150/1000</f>
        <v>7.2</v>
      </c>
      <c r="H155" s="21">
        <f>G154*1.5*0.4*150/1000</f>
        <v>3.15</v>
      </c>
      <c r="I155" s="21">
        <f>I154*200/1000</f>
        <v>24</v>
      </c>
      <c r="J155" s="21">
        <f>J154*200/1000</f>
        <v>3.8</v>
      </c>
      <c r="K155" s="21">
        <f>K154*200/1000</f>
        <v>5</v>
      </c>
      <c r="L155" s="62">
        <f t="shared" si="77"/>
        <v>158.73015873015873</v>
      </c>
      <c r="M155" s="62">
        <f t="shared" si="78"/>
        <v>20.833333333333336</v>
      </c>
      <c r="N155" s="21">
        <f>N154*200/1000</f>
        <v>24</v>
      </c>
      <c r="O155" s="155">
        <f t="shared" si="79"/>
        <v>480</v>
      </c>
      <c r="P155" s="21">
        <f>N154*1.5*0.4*150/1000</f>
        <v>10.8</v>
      </c>
      <c r="Q155" s="21">
        <f>P154*1.5*0.4*150/1000</f>
        <v>7.2</v>
      </c>
      <c r="R155" s="21">
        <f>Q154*1.5*0.4*150/1000</f>
        <v>7.65</v>
      </c>
      <c r="S155" s="21">
        <f>R154*1.5*0.4*150/1000</f>
        <v>8.1</v>
      </c>
      <c r="T155" s="156">
        <f t="shared" si="72"/>
        <v>16.58</v>
      </c>
      <c r="U155" s="156">
        <f t="shared" si="73"/>
        <v>57.75</v>
      </c>
      <c r="Y155" s="152"/>
    </row>
    <row r="156" spans="1:25" s="171" customFormat="1" ht="16.5" customHeight="1">
      <c r="A156" s="9"/>
      <c r="B156" s="28" t="s">
        <v>87</v>
      </c>
      <c r="C156" s="10" t="s">
        <v>77</v>
      </c>
      <c r="D156" s="49">
        <f aca="true" t="shared" si="86" ref="D156:S156">D155*100/1000</f>
        <v>0.063</v>
      </c>
      <c r="E156" s="21">
        <f t="shared" si="86"/>
        <v>0.063</v>
      </c>
      <c r="F156" s="21">
        <f t="shared" si="86"/>
        <v>0.06</v>
      </c>
      <c r="G156" s="21">
        <f t="shared" si="86"/>
        <v>0.72</v>
      </c>
      <c r="H156" s="21">
        <f t="shared" si="86"/>
        <v>0.315</v>
      </c>
      <c r="I156" s="21">
        <f t="shared" si="86"/>
        <v>2.4</v>
      </c>
      <c r="J156" s="21">
        <f t="shared" si="86"/>
        <v>0.38</v>
      </c>
      <c r="K156" s="21">
        <f t="shared" si="86"/>
        <v>0.5</v>
      </c>
      <c r="L156" s="62">
        <f t="shared" si="77"/>
        <v>158.73015873015873</v>
      </c>
      <c r="M156" s="62">
        <f t="shared" si="78"/>
        <v>20.833333333333336</v>
      </c>
      <c r="N156" s="21">
        <f>N155*100/1000</f>
        <v>2.4</v>
      </c>
      <c r="O156" s="155">
        <f t="shared" si="79"/>
        <v>480</v>
      </c>
      <c r="P156" s="21">
        <f t="shared" si="86"/>
        <v>1.08</v>
      </c>
      <c r="Q156" s="21">
        <f t="shared" si="86"/>
        <v>0.72</v>
      </c>
      <c r="R156" s="21">
        <f t="shared" si="86"/>
        <v>0.765</v>
      </c>
      <c r="S156" s="21">
        <f t="shared" si="86"/>
        <v>0.81</v>
      </c>
      <c r="T156" s="156">
        <f t="shared" si="72"/>
        <v>1.658</v>
      </c>
      <c r="U156" s="156">
        <f t="shared" si="73"/>
        <v>5.775</v>
      </c>
      <c r="Y156" s="152"/>
    </row>
    <row r="157" spans="1:25" s="41" customFormat="1" ht="12.75">
      <c r="A157" s="5" t="s">
        <v>3</v>
      </c>
      <c r="B157" s="27" t="s">
        <v>22</v>
      </c>
      <c r="C157" s="5" t="s">
        <v>27</v>
      </c>
      <c r="D157" s="49">
        <v>537</v>
      </c>
      <c r="E157" s="21">
        <v>1655</v>
      </c>
      <c r="F157" s="21">
        <v>2500</v>
      </c>
      <c r="G157" s="21">
        <v>1800</v>
      </c>
      <c r="H157" s="21">
        <v>1726</v>
      </c>
      <c r="I157" s="21">
        <v>3050</v>
      </c>
      <c r="J157" s="21">
        <v>1654</v>
      </c>
      <c r="K157" s="21">
        <v>2000</v>
      </c>
      <c r="L157" s="62">
        <f t="shared" si="77"/>
        <v>115.87485515643105</v>
      </c>
      <c r="M157" s="62">
        <f t="shared" si="78"/>
        <v>65.57377049180327</v>
      </c>
      <c r="N157" s="21">
        <v>3050</v>
      </c>
      <c r="O157" s="155">
        <f t="shared" si="79"/>
        <v>152.5</v>
      </c>
      <c r="P157" s="21">
        <v>3200</v>
      </c>
      <c r="Q157" s="21">
        <v>4000</v>
      </c>
      <c r="R157" s="21">
        <v>4500</v>
      </c>
      <c r="S157" s="21">
        <v>5000</v>
      </c>
      <c r="T157" s="156">
        <f t="shared" si="72"/>
        <v>9681</v>
      </c>
      <c r="U157" s="156">
        <f t="shared" si="73"/>
        <v>19750</v>
      </c>
      <c r="Y157" s="152"/>
    </row>
    <row r="158" spans="1:25" s="171" customFormat="1" ht="16.5" customHeight="1">
      <c r="A158" s="9"/>
      <c r="B158" s="28" t="s">
        <v>88</v>
      </c>
      <c r="C158" s="10" t="s">
        <v>86</v>
      </c>
      <c r="D158" s="49">
        <f>D157*1.5*0.4*150/1000</f>
        <v>48.330000000000005</v>
      </c>
      <c r="E158" s="21">
        <f>D157*1.5*0.4*150/1000</f>
        <v>48.330000000000005</v>
      </c>
      <c r="F158" s="21">
        <v>48</v>
      </c>
      <c r="G158" s="21">
        <f>F157*1.5*0.4*150/1000</f>
        <v>225</v>
      </c>
      <c r="H158" s="21">
        <f>G157*1.5*0.4*150/1000</f>
        <v>162</v>
      </c>
      <c r="I158" s="21">
        <f>I157*0.4*150/1000</f>
        <v>183</v>
      </c>
      <c r="J158" s="21">
        <f>J157*0.2*150/1000</f>
        <v>49.62</v>
      </c>
      <c r="K158" s="21">
        <f>K157*0.4*150/1000</f>
        <v>120</v>
      </c>
      <c r="L158" s="62">
        <f t="shared" si="77"/>
        <v>74.07407407407408</v>
      </c>
      <c r="M158" s="62">
        <f t="shared" si="78"/>
        <v>65.57377049180327</v>
      </c>
      <c r="N158" s="21">
        <f>N157*0.4*150/1000</f>
        <v>183</v>
      </c>
      <c r="O158" s="155">
        <f t="shared" si="79"/>
        <v>152.5</v>
      </c>
      <c r="P158" s="21">
        <f>N157*1.5*0.4*150/1000</f>
        <v>274.5</v>
      </c>
      <c r="Q158" s="21">
        <f>P157*1.5*0.4*150/1000</f>
        <v>288</v>
      </c>
      <c r="R158" s="21">
        <f>Q157*1.5*0.4*150/1000</f>
        <v>360</v>
      </c>
      <c r="S158" s="21">
        <f>R157*1.5*0.4*150/1000</f>
        <v>405</v>
      </c>
      <c r="T158" s="156">
        <f t="shared" si="72"/>
        <v>603.33</v>
      </c>
      <c r="U158" s="156">
        <f t="shared" si="73"/>
        <v>1510.5</v>
      </c>
      <c r="Y158" s="152"/>
    </row>
    <row r="159" spans="1:25" s="171" customFormat="1" ht="16.5" customHeight="1">
      <c r="A159" s="9"/>
      <c r="B159" s="28" t="s">
        <v>87</v>
      </c>
      <c r="C159" s="10" t="s">
        <v>77</v>
      </c>
      <c r="D159" s="49">
        <f aca="true" t="shared" si="87" ref="D159:S159">D158*100/1000</f>
        <v>4.833000000000001</v>
      </c>
      <c r="E159" s="21">
        <f t="shared" si="87"/>
        <v>4.833000000000001</v>
      </c>
      <c r="F159" s="21">
        <f t="shared" si="87"/>
        <v>4.8</v>
      </c>
      <c r="G159" s="21">
        <f t="shared" si="87"/>
        <v>22.5</v>
      </c>
      <c r="H159" s="21">
        <f t="shared" si="87"/>
        <v>16.2</v>
      </c>
      <c r="I159" s="21">
        <f t="shared" si="87"/>
        <v>18.3</v>
      </c>
      <c r="J159" s="21">
        <f t="shared" si="87"/>
        <v>4.962</v>
      </c>
      <c r="K159" s="21">
        <f t="shared" si="87"/>
        <v>12</v>
      </c>
      <c r="L159" s="62">
        <f t="shared" si="77"/>
        <v>74.07407407407408</v>
      </c>
      <c r="M159" s="62">
        <f t="shared" si="78"/>
        <v>65.57377049180327</v>
      </c>
      <c r="N159" s="21">
        <f t="shared" si="87"/>
        <v>18.3</v>
      </c>
      <c r="O159" s="155">
        <f t="shared" si="79"/>
        <v>152.5</v>
      </c>
      <c r="P159" s="21">
        <f t="shared" si="87"/>
        <v>27.45</v>
      </c>
      <c r="Q159" s="21">
        <f t="shared" si="87"/>
        <v>28.8</v>
      </c>
      <c r="R159" s="21">
        <f t="shared" si="87"/>
        <v>36</v>
      </c>
      <c r="S159" s="21">
        <f t="shared" si="87"/>
        <v>40.5</v>
      </c>
      <c r="T159" s="156">
        <f t="shared" si="72"/>
        <v>60.333</v>
      </c>
      <c r="U159" s="156">
        <f t="shared" si="73"/>
        <v>151.05</v>
      </c>
      <c r="Y159" s="152"/>
    </row>
    <row r="160" spans="1:25" s="41" customFormat="1" ht="12.75">
      <c r="A160" s="5" t="s">
        <v>3</v>
      </c>
      <c r="B160" s="27" t="s">
        <v>23</v>
      </c>
      <c r="C160" s="5" t="s">
        <v>27</v>
      </c>
      <c r="D160" s="49">
        <v>566</v>
      </c>
      <c r="E160" s="21">
        <v>759</v>
      </c>
      <c r="F160" s="21">
        <v>1500</v>
      </c>
      <c r="G160" s="21">
        <v>1500</v>
      </c>
      <c r="H160" s="21">
        <v>638</v>
      </c>
      <c r="I160" s="21">
        <v>2500</v>
      </c>
      <c r="J160" s="21">
        <v>751</v>
      </c>
      <c r="K160" s="21">
        <v>800</v>
      </c>
      <c r="L160" s="62">
        <f t="shared" si="77"/>
        <v>125.39184952978057</v>
      </c>
      <c r="M160" s="62">
        <f t="shared" si="78"/>
        <v>32</v>
      </c>
      <c r="N160" s="21">
        <v>2500</v>
      </c>
      <c r="O160" s="155">
        <f t="shared" si="79"/>
        <v>312.5</v>
      </c>
      <c r="P160" s="21">
        <v>2700</v>
      </c>
      <c r="Q160" s="21">
        <v>3500</v>
      </c>
      <c r="R160" s="21">
        <v>3700</v>
      </c>
      <c r="S160" s="21">
        <v>4000</v>
      </c>
      <c r="T160" s="156">
        <f t="shared" si="72"/>
        <v>5197</v>
      </c>
      <c r="U160" s="156">
        <f t="shared" si="73"/>
        <v>16400</v>
      </c>
      <c r="Y160" s="152"/>
    </row>
    <row r="161" spans="1:25" s="171" customFormat="1" ht="16.5" customHeight="1">
      <c r="A161" s="9"/>
      <c r="B161" s="28" t="s">
        <v>88</v>
      </c>
      <c r="C161" s="10" t="s">
        <v>86</v>
      </c>
      <c r="D161" s="49">
        <f>D160*2*50/1000</f>
        <v>56.6</v>
      </c>
      <c r="E161" s="21">
        <f>E160*2*50/1000</f>
        <v>75.9</v>
      </c>
      <c r="F161" s="21">
        <v>75</v>
      </c>
      <c r="G161" s="21">
        <f>G160*2*50/1000</f>
        <v>150</v>
      </c>
      <c r="H161" s="21">
        <f>H160*2*50/1000</f>
        <v>63.8</v>
      </c>
      <c r="I161" s="21">
        <f>I160*3*50/1000</f>
        <v>375</v>
      </c>
      <c r="J161" s="21">
        <f>J160*50*1.5/1000</f>
        <v>56.325</v>
      </c>
      <c r="K161" s="21">
        <f>K160*3*50/1000</f>
        <v>120</v>
      </c>
      <c r="L161" s="62">
        <f t="shared" si="77"/>
        <v>188.08777429467085</v>
      </c>
      <c r="M161" s="62">
        <f t="shared" si="78"/>
        <v>32</v>
      </c>
      <c r="N161" s="21">
        <f>N160*3*50/1000</f>
        <v>375</v>
      </c>
      <c r="O161" s="155">
        <f t="shared" si="79"/>
        <v>312.5</v>
      </c>
      <c r="P161" s="21">
        <f>P160*2*50/1000</f>
        <v>270</v>
      </c>
      <c r="Q161" s="21">
        <f>Q160*2*50/1000</f>
        <v>350</v>
      </c>
      <c r="R161" s="21">
        <f>R160*2*50/1000</f>
        <v>370</v>
      </c>
      <c r="S161" s="21">
        <f>S160*2*50/1000</f>
        <v>400</v>
      </c>
      <c r="T161" s="156">
        <f t="shared" si="72"/>
        <v>484.7</v>
      </c>
      <c r="U161" s="156">
        <f t="shared" si="73"/>
        <v>1765</v>
      </c>
      <c r="Y161" s="152"/>
    </row>
    <row r="162" spans="1:25" s="171" customFormat="1" ht="16.5" customHeight="1">
      <c r="A162" s="9"/>
      <c r="B162" s="28" t="s">
        <v>87</v>
      </c>
      <c r="C162" s="10" t="s">
        <v>77</v>
      </c>
      <c r="D162" s="49">
        <f aca="true" t="shared" si="88" ref="D162:S162">D161*50/1000</f>
        <v>2.83</v>
      </c>
      <c r="E162" s="21">
        <f>E161*50/1000</f>
        <v>3.7950000000000004</v>
      </c>
      <c r="F162" s="21">
        <f t="shared" si="88"/>
        <v>3.75</v>
      </c>
      <c r="G162" s="21">
        <f t="shared" si="88"/>
        <v>7.5</v>
      </c>
      <c r="H162" s="21">
        <f t="shared" si="88"/>
        <v>3.19</v>
      </c>
      <c r="I162" s="21">
        <f t="shared" si="88"/>
        <v>18.75</v>
      </c>
      <c r="J162" s="21">
        <f t="shared" si="88"/>
        <v>2.81625</v>
      </c>
      <c r="K162" s="21">
        <f t="shared" si="88"/>
        <v>6</v>
      </c>
      <c r="L162" s="62">
        <f t="shared" si="77"/>
        <v>188.08777429467085</v>
      </c>
      <c r="M162" s="62">
        <f t="shared" si="78"/>
        <v>32</v>
      </c>
      <c r="N162" s="21">
        <f t="shared" si="88"/>
        <v>18.75</v>
      </c>
      <c r="O162" s="155">
        <f t="shared" si="79"/>
        <v>312.5</v>
      </c>
      <c r="P162" s="21">
        <f t="shared" si="88"/>
        <v>13.5</v>
      </c>
      <c r="Q162" s="21">
        <f t="shared" si="88"/>
        <v>17.5</v>
      </c>
      <c r="R162" s="21">
        <f t="shared" si="88"/>
        <v>18.5</v>
      </c>
      <c r="S162" s="21">
        <f t="shared" si="88"/>
        <v>20</v>
      </c>
      <c r="T162" s="156">
        <f t="shared" si="72"/>
        <v>24.235</v>
      </c>
      <c r="U162" s="156">
        <f t="shared" si="73"/>
        <v>88.25</v>
      </c>
      <c r="Y162" s="152"/>
    </row>
    <row r="163" spans="1:25" s="41" customFormat="1" ht="12.75">
      <c r="A163" s="5" t="s">
        <v>3</v>
      </c>
      <c r="B163" s="27" t="s">
        <v>108</v>
      </c>
      <c r="C163" s="5" t="s">
        <v>27</v>
      </c>
      <c r="D163" s="49">
        <v>153</v>
      </c>
      <c r="E163" s="21">
        <v>394</v>
      </c>
      <c r="F163" s="21">
        <v>760</v>
      </c>
      <c r="G163" s="21">
        <v>1000</v>
      </c>
      <c r="H163" s="21">
        <v>825</v>
      </c>
      <c r="I163" s="21">
        <v>1700</v>
      </c>
      <c r="J163" s="21">
        <f>628+18</f>
        <v>646</v>
      </c>
      <c r="K163" s="21">
        <v>790</v>
      </c>
      <c r="L163" s="62">
        <f t="shared" si="77"/>
        <v>95.75757575757575</v>
      </c>
      <c r="M163" s="62">
        <f t="shared" si="78"/>
        <v>46.470588235294116</v>
      </c>
      <c r="N163" s="21">
        <v>1700</v>
      </c>
      <c r="O163" s="155">
        <f t="shared" si="79"/>
        <v>215.18987341772151</v>
      </c>
      <c r="P163" s="21">
        <v>2000</v>
      </c>
      <c r="Q163" s="21">
        <v>2450</v>
      </c>
      <c r="R163" s="21">
        <v>2800</v>
      </c>
      <c r="S163" s="21">
        <v>3100</v>
      </c>
      <c r="T163" s="156">
        <f t="shared" si="72"/>
        <v>3769</v>
      </c>
      <c r="U163" s="156">
        <f t="shared" si="73"/>
        <v>12050</v>
      </c>
      <c r="Y163" s="152"/>
    </row>
    <row r="164" spans="1:25" s="171" customFormat="1" ht="16.5" customHeight="1">
      <c r="A164" s="9"/>
      <c r="B164" s="28" t="s">
        <v>88</v>
      </c>
      <c r="C164" s="10" t="s">
        <v>86</v>
      </c>
      <c r="D164" s="49">
        <f>D163*2*25/1000</f>
        <v>7.65</v>
      </c>
      <c r="E164" s="21">
        <f>D163*1.5*0.4*25/1000</f>
        <v>2.2950000000000004</v>
      </c>
      <c r="F164" s="21">
        <v>2.3</v>
      </c>
      <c r="G164" s="21">
        <f>F163*1.5*0.4*25/1000</f>
        <v>11.4</v>
      </c>
      <c r="H164" s="21">
        <f>G163*1.5*0.4*25/1000</f>
        <v>15</v>
      </c>
      <c r="I164" s="21">
        <f>I163*0.5*25/1000</f>
        <v>21.25</v>
      </c>
      <c r="J164" s="21">
        <f>J163*0.25*25/1000</f>
        <v>4.0375</v>
      </c>
      <c r="K164" s="21">
        <f>K163*0.5*25/1000</f>
        <v>9.875</v>
      </c>
      <c r="L164" s="62">
        <f t="shared" si="77"/>
        <v>65.83333333333333</v>
      </c>
      <c r="M164" s="62">
        <f t="shared" si="78"/>
        <v>46.470588235294116</v>
      </c>
      <c r="N164" s="21">
        <f>N163*0.5*25/1000</f>
        <v>21.25</v>
      </c>
      <c r="O164" s="155">
        <f t="shared" si="79"/>
        <v>215.18987341772151</v>
      </c>
      <c r="P164" s="21">
        <f>N163*1.5*0.4*25/1000</f>
        <v>25.5</v>
      </c>
      <c r="Q164" s="21">
        <f>P163*1.5*0.4*25/1000</f>
        <v>30</v>
      </c>
      <c r="R164" s="21">
        <f>Q163*1.5*0.4*25/1000</f>
        <v>36.75</v>
      </c>
      <c r="S164" s="21">
        <f>R163*1.5*0.4*25/1000</f>
        <v>42</v>
      </c>
      <c r="T164" s="156">
        <f t="shared" si="72"/>
        <v>40.870000000000005</v>
      </c>
      <c r="U164" s="156">
        <f t="shared" si="73"/>
        <v>155.5</v>
      </c>
      <c r="Y164" s="152"/>
    </row>
    <row r="165" spans="1:25" s="171" customFormat="1" ht="16.5" customHeight="1">
      <c r="A165" s="9"/>
      <c r="B165" s="28" t="s">
        <v>87</v>
      </c>
      <c r="C165" s="10" t="s">
        <v>77</v>
      </c>
      <c r="D165" s="49">
        <f aca="true" t="shared" si="89" ref="D165:S165">D164*100/1000</f>
        <v>0.765</v>
      </c>
      <c r="E165" s="21">
        <f t="shared" si="89"/>
        <v>0.22950000000000004</v>
      </c>
      <c r="F165" s="21">
        <f>F164*100/1000</f>
        <v>0.22999999999999998</v>
      </c>
      <c r="G165" s="21">
        <f t="shared" si="89"/>
        <v>1.14</v>
      </c>
      <c r="H165" s="21">
        <f t="shared" si="89"/>
        <v>1.5</v>
      </c>
      <c r="I165" s="21">
        <f t="shared" si="89"/>
        <v>2.125</v>
      </c>
      <c r="J165" s="21">
        <f t="shared" si="89"/>
        <v>0.40374999999999994</v>
      </c>
      <c r="K165" s="21">
        <f t="shared" si="89"/>
        <v>0.9875</v>
      </c>
      <c r="L165" s="62">
        <f t="shared" si="77"/>
        <v>65.83333333333333</v>
      </c>
      <c r="M165" s="62">
        <f t="shared" si="78"/>
        <v>46.470588235294116</v>
      </c>
      <c r="N165" s="21">
        <f t="shared" si="89"/>
        <v>2.125</v>
      </c>
      <c r="O165" s="155">
        <f t="shared" si="79"/>
        <v>215.18987341772151</v>
      </c>
      <c r="P165" s="21">
        <f t="shared" si="89"/>
        <v>2.55</v>
      </c>
      <c r="Q165" s="21">
        <f t="shared" si="89"/>
        <v>3</v>
      </c>
      <c r="R165" s="21">
        <f t="shared" si="89"/>
        <v>3.675</v>
      </c>
      <c r="S165" s="21">
        <f t="shared" si="89"/>
        <v>4.2</v>
      </c>
      <c r="T165" s="156">
        <f t="shared" si="72"/>
        <v>4.087</v>
      </c>
      <c r="U165" s="156">
        <f t="shared" si="73"/>
        <v>15.55</v>
      </c>
      <c r="Y165" s="152"/>
    </row>
    <row r="166" spans="1:25" s="42" customFormat="1" ht="12.75">
      <c r="A166" s="2">
        <v>2</v>
      </c>
      <c r="B166" s="30" t="s">
        <v>20</v>
      </c>
      <c r="C166" s="2" t="s">
        <v>27</v>
      </c>
      <c r="D166" s="53">
        <v>15357</v>
      </c>
      <c r="E166" s="20">
        <v>20344</v>
      </c>
      <c r="F166" s="20">
        <v>30000</v>
      </c>
      <c r="G166" s="20">
        <v>35000</v>
      </c>
      <c r="H166" s="20">
        <v>33842</v>
      </c>
      <c r="I166" s="20">
        <v>35000</v>
      </c>
      <c r="J166" s="20">
        <v>33158</v>
      </c>
      <c r="K166" s="20">
        <v>35000</v>
      </c>
      <c r="L166" s="62">
        <f t="shared" si="77"/>
        <v>103.42178358253058</v>
      </c>
      <c r="M166" s="62">
        <f t="shared" si="78"/>
        <v>100</v>
      </c>
      <c r="N166" s="20">
        <v>35000</v>
      </c>
      <c r="O166" s="155">
        <f t="shared" si="79"/>
        <v>100</v>
      </c>
      <c r="P166" s="20">
        <v>39000</v>
      </c>
      <c r="Q166" s="20">
        <v>41000</v>
      </c>
      <c r="R166" s="20">
        <v>43000</v>
      </c>
      <c r="S166" s="20">
        <v>45000</v>
      </c>
      <c r="T166" s="20">
        <f t="shared" si="72"/>
        <v>154186</v>
      </c>
      <c r="U166" s="20">
        <f t="shared" si="73"/>
        <v>203000</v>
      </c>
      <c r="Y166" s="152"/>
    </row>
    <row r="167" spans="1:25" s="158" customFormat="1" ht="12.75">
      <c r="A167" s="7" t="s">
        <v>3</v>
      </c>
      <c r="B167" s="27" t="s">
        <v>88</v>
      </c>
      <c r="C167" s="5" t="s">
        <v>78</v>
      </c>
      <c r="D167" s="49">
        <f>D166*1.5/1000</f>
        <v>23.0355</v>
      </c>
      <c r="E167" s="21">
        <f>E166*1.5/1000</f>
        <v>30.516</v>
      </c>
      <c r="F167" s="21">
        <v>31</v>
      </c>
      <c r="G167" s="21">
        <f>G166*1.5/1000</f>
        <v>52.5</v>
      </c>
      <c r="H167" s="21">
        <f>H166*1.5/1000</f>
        <v>50.763</v>
      </c>
      <c r="I167" s="21">
        <f>I166*1.5/1000</f>
        <v>52.5</v>
      </c>
      <c r="J167" s="21">
        <f>J166*1.5/1000</f>
        <v>49.737</v>
      </c>
      <c r="K167" s="21">
        <f>K166*1.5/1000</f>
        <v>52.5</v>
      </c>
      <c r="L167" s="62">
        <f t="shared" si="77"/>
        <v>103.42178358253058</v>
      </c>
      <c r="M167" s="62">
        <f t="shared" si="78"/>
        <v>100</v>
      </c>
      <c r="N167" s="21">
        <f>N166*1.5/1000</f>
        <v>52.5</v>
      </c>
      <c r="O167" s="155">
        <f t="shared" si="79"/>
        <v>100</v>
      </c>
      <c r="P167" s="21">
        <f>P166*1.5/1000</f>
        <v>58.5</v>
      </c>
      <c r="Q167" s="21">
        <f>Q166*1.5/1000</f>
        <v>61.5</v>
      </c>
      <c r="R167" s="21">
        <f>R166*1.5/1000</f>
        <v>64.5</v>
      </c>
      <c r="S167" s="21">
        <f>S166*1.5/1000</f>
        <v>67.5</v>
      </c>
      <c r="T167" s="156">
        <f t="shared" si="72"/>
        <v>217.279</v>
      </c>
      <c r="U167" s="156">
        <f t="shared" si="73"/>
        <v>304.5</v>
      </c>
      <c r="Y167" s="152"/>
    </row>
    <row r="168" spans="1:25" s="158" customFormat="1" ht="12.75">
      <c r="A168" s="7"/>
      <c r="B168" s="27" t="s">
        <v>91</v>
      </c>
      <c r="C168" s="5" t="s">
        <v>77</v>
      </c>
      <c r="D168" s="49">
        <f>D167*90/1000</f>
        <v>2.0731949999999997</v>
      </c>
      <c r="E168" s="21">
        <f aca="true" t="shared" si="90" ref="E168:S168">E167*90/1000</f>
        <v>2.74644</v>
      </c>
      <c r="F168" s="21">
        <f t="shared" si="90"/>
        <v>2.79</v>
      </c>
      <c r="G168" s="21">
        <f t="shared" si="90"/>
        <v>4.725</v>
      </c>
      <c r="H168" s="21">
        <f t="shared" si="90"/>
        <v>4.56867</v>
      </c>
      <c r="I168" s="21">
        <f t="shared" si="90"/>
        <v>4.725</v>
      </c>
      <c r="J168" s="21">
        <f t="shared" si="90"/>
        <v>4.47633</v>
      </c>
      <c r="K168" s="21">
        <f t="shared" si="90"/>
        <v>4.725</v>
      </c>
      <c r="L168" s="62">
        <f t="shared" si="77"/>
        <v>103.42178358253058</v>
      </c>
      <c r="M168" s="62">
        <f t="shared" si="78"/>
        <v>100</v>
      </c>
      <c r="N168" s="21">
        <f>N167*72.507/1000</f>
        <v>3.8066175</v>
      </c>
      <c r="O168" s="155">
        <f t="shared" si="79"/>
        <v>80.56333333333335</v>
      </c>
      <c r="P168" s="21">
        <f t="shared" si="90"/>
        <v>5.265</v>
      </c>
      <c r="Q168" s="21">
        <f t="shared" si="90"/>
        <v>5.535</v>
      </c>
      <c r="R168" s="21">
        <f t="shared" si="90"/>
        <v>5.805</v>
      </c>
      <c r="S168" s="21">
        <f t="shared" si="90"/>
        <v>6.075</v>
      </c>
      <c r="T168" s="156">
        <f t="shared" si="72"/>
        <v>19.55511</v>
      </c>
      <c r="U168" s="156">
        <f t="shared" si="73"/>
        <v>26.4866175</v>
      </c>
      <c r="Y168" s="152"/>
    </row>
    <row r="169" spans="1:25" s="39" customFormat="1" ht="12.75">
      <c r="A169" s="2" t="s">
        <v>8</v>
      </c>
      <c r="B169" s="30" t="s">
        <v>24</v>
      </c>
      <c r="C169" s="2"/>
      <c r="D169" s="53"/>
      <c r="E169" s="24"/>
      <c r="F169" s="24"/>
      <c r="G169" s="24"/>
      <c r="H169" s="24"/>
      <c r="I169" s="24"/>
      <c r="J169" s="24"/>
      <c r="K169" s="45"/>
      <c r="L169" s="62"/>
      <c r="M169" s="62"/>
      <c r="N169" s="24"/>
      <c r="O169" s="155"/>
      <c r="P169" s="45"/>
      <c r="Q169" s="45"/>
      <c r="R169" s="45"/>
      <c r="S169" s="45"/>
      <c r="T169" s="156">
        <f t="shared" si="72"/>
        <v>0</v>
      </c>
      <c r="U169" s="156">
        <f t="shared" si="73"/>
        <v>0</v>
      </c>
      <c r="Y169" s="152"/>
    </row>
    <row r="170" spans="1:25" s="41" customFormat="1" ht="12.75">
      <c r="A170" s="5"/>
      <c r="B170" s="27" t="s">
        <v>92</v>
      </c>
      <c r="C170" s="5" t="s">
        <v>77</v>
      </c>
      <c r="D170" s="49">
        <f>D180+D182</f>
        <v>2.7089125000000003</v>
      </c>
      <c r="E170" s="21">
        <f aca="true" t="shared" si="91" ref="E170:S170">E180+E182</f>
        <v>3.2565049999999998</v>
      </c>
      <c r="F170" s="21">
        <f t="shared" si="91"/>
        <v>5.862500000000001</v>
      </c>
      <c r="G170" s="21">
        <f t="shared" si="91"/>
        <v>5.957</v>
      </c>
      <c r="H170" s="21">
        <f t="shared" si="91"/>
        <v>5.434450000000001</v>
      </c>
      <c r="I170" s="21">
        <f t="shared" si="91"/>
        <v>10.088750000000001</v>
      </c>
      <c r="J170" s="21">
        <f t="shared" si="91"/>
        <v>1.845375</v>
      </c>
      <c r="K170" s="21">
        <f t="shared" si="91"/>
        <v>8.60125</v>
      </c>
      <c r="L170" s="62">
        <f t="shared" si="77"/>
        <v>158.27268628840082</v>
      </c>
      <c r="M170" s="62">
        <f t="shared" si="78"/>
        <v>85.2558542931483</v>
      </c>
      <c r="N170" s="21">
        <f>N180+N182</f>
        <v>10.73625</v>
      </c>
      <c r="O170" s="155">
        <f t="shared" si="79"/>
        <v>124.82197355035605</v>
      </c>
      <c r="P170" s="21">
        <f t="shared" si="91"/>
        <v>12.488</v>
      </c>
      <c r="Q170" s="21">
        <f t="shared" si="91"/>
        <v>13.20725</v>
      </c>
      <c r="R170" s="21">
        <f t="shared" si="91"/>
        <v>14.117249999999999</v>
      </c>
      <c r="S170" s="21">
        <f t="shared" si="91"/>
        <v>15.19</v>
      </c>
      <c r="T170" s="156">
        <f t="shared" si="72"/>
        <v>29.111705000000004</v>
      </c>
      <c r="U170" s="156">
        <f t="shared" si="73"/>
        <v>65.73875</v>
      </c>
      <c r="Y170" s="152"/>
    </row>
    <row r="171" spans="1:25" s="41" customFormat="1" ht="12.75">
      <c r="A171" s="5"/>
      <c r="B171" s="27" t="s">
        <v>122</v>
      </c>
      <c r="C171" s="5" t="s">
        <v>77</v>
      </c>
      <c r="D171" s="49">
        <f>D170*30%*9.6%</f>
        <v>0.07801668</v>
      </c>
      <c r="E171" s="21">
        <f aca="true" t="shared" si="92" ref="E171:S171">E170*30%*9.6%</f>
        <v>0.093787344</v>
      </c>
      <c r="F171" s="21">
        <f t="shared" si="92"/>
        <v>0.16884000000000002</v>
      </c>
      <c r="G171" s="21">
        <f t="shared" si="92"/>
        <v>0.1715616</v>
      </c>
      <c r="H171" s="21">
        <f t="shared" si="92"/>
        <v>0.15651216000000004</v>
      </c>
      <c r="I171" s="21">
        <f t="shared" si="92"/>
        <v>0.29055600000000004</v>
      </c>
      <c r="J171" s="21">
        <f t="shared" si="92"/>
        <v>0.053146799999999994</v>
      </c>
      <c r="K171" s="21">
        <f t="shared" si="92"/>
        <v>0.24771600000000002</v>
      </c>
      <c r="L171" s="62">
        <f t="shared" si="77"/>
        <v>158.27268628840082</v>
      </c>
      <c r="M171" s="62">
        <f t="shared" si="78"/>
        <v>85.2558542931483</v>
      </c>
      <c r="N171" s="21">
        <f>N170*30%*9.6%</f>
        <v>0.309204</v>
      </c>
      <c r="O171" s="155">
        <f t="shared" si="79"/>
        <v>124.82197355035602</v>
      </c>
      <c r="P171" s="21">
        <f t="shared" si="92"/>
        <v>0.3596544</v>
      </c>
      <c r="Q171" s="21">
        <f t="shared" si="92"/>
        <v>0.3803688</v>
      </c>
      <c r="R171" s="21">
        <f t="shared" si="92"/>
        <v>0.4065767999999999</v>
      </c>
      <c r="S171" s="21">
        <f t="shared" si="92"/>
        <v>0.43747199999999997</v>
      </c>
      <c r="T171" s="156">
        <f t="shared" si="72"/>
        <v>0.838417104</v>
      </c>
      <c r="U171" s="156">
        <f t="shared" si="73"/>
        <v>1.893276</v>
      </c>
      <c r="Y171" s="152"/>
    </row>
    <row r="172" spans="1:25" s="41" customFormat="1" ht="12.75">
      <c r="A172" s="5">
        <v>1</v>
      </c>
      <c r="B172" s="27" t="s">
        <v>33</v>
      </c>
      <c r="C172" s="5" t="s">
        <v>0</v>
      </c>
      <c r="D172" s="49">
        <v>11.5</v>
      </c>
      <c r="E172" s="21">
        <v>15.3</v>
      </c>
      <c r="F172" s="21">
        <v>22</v>
      </c>
      <c r="G172" s="21">
        <v>25</v>
      </c>
      <c r="H172" s="21">
        <v>27</v>
      </c>
      <c r="I172" s="21">
        <v>30</v>
      </c>
      <c r="J172" s="21">
        <v>27.5</v>
      </c>
      <c r="K172" s="21">
        <v>30.5</v>
      </c>
      <c r="L172" s="62">
        <f t="shared" si="77"/>
        <v>112.96296296296295</v>
      </c>
      <c r="M172" s="62">
        <f t="shared" si="78"/>
        <v>101.66666666666666</v>
      </c>
      <c r="N172" s="21">
        <v>31</v>
      </c>
      <c r="O172" s="155">
        <f t="shared" si="79"/>
        <v>101.63934426229508</v>
      </c>
      <c r="P172" s="21">
        <v>31</v>
      </c>
      <c r="Q172" s="21">
        <v>31</v>
      </c>
      <c r="R172" s="21">
        <v>31</v>
      </c>
      <c r="S172" s="21">
        <v>31</v>
      </c>
      <c r="T172" s="156">
        <f t="shared" si="72"/>
        <v>119.8</v>
      </c>
      <c r="U172" s="156">
        <f t="shared" si="73"/>
        <v>155</v>
      </c>
      <c r="Y172" s="152"/>
    </row>
    <row r="173" spans="1:25" s="171" customFormat="1" ht="12.75">
      <c r="A173" s="10"/>
      <c r="B173" s="28" t="s">
        <v>4</v>
      </c>
      <c r="C173" s="10" t="s">
        <v>55</v>
      </c>
      <c r="D173" s="161">
        <v>33.65</v>
      </c>
      <c r="E173" s="19">
        <v>13.1</v>
      </c>
      <c r="F173" s="19">
        <v>14.5</v>
      </c>
      <c r="G173" s="19">
        <v>22</v>
      </c>
      <c r="H173" s="19">
        <v>20.4</v>
      </c>
      <c r="I173" s="19">
        <v>30</v>
      </c>
      <c r="J173" s="19">
        <v>1.5</v>
      </c>
      <c r="K173" s="19">
        <v>35</v>
      </c>
      <c r="L173" s="62">
        <f t="shared" si="77"/>
        <v>171.56862745098042</v>
      </c>
      <c r="M173" s="62">
        <f t="shared" si="78"/>
        <v>116.66666666666667</v>
      </c>
      <c r="N173" s="19">
        <v>35</v>
      </c>
      <c r="O173" s="155">
        <f t="shared" si="79"/>
        <v>100</v>
      </c>
      <c r="P173" s="19">
        <v>38</v>
      </c>
      <c r="Q173" s="19">
        <v>38.5</v>
      </c>
      <c r="R173" s="19">
        <v>38.5</v>
      </c>
      <c r="S173" s="19">
        <v>40</v>
      </c>
      <c r="T173" s="156">
        <f t="shared" si="72"/>
        <v>105</v>
      </c>
      <c r="U173" s="156">
        <f t="shared" si="73"/>
        <v>190</v>
      </c>
      <c r="Y173" s="152"/>
    </row>
    <row r="174" spans="1:25" s="171" customFormat="1" ht="12.75">
      <c r="A174" s="10"/>
      <c r="B174" s="28" t="s">
        <v>67</v>
      </c>
      <c r="C174" s="10" t="s">
        <v>30</v>
      </c>
      <c r="D174" s="161">
        <f>D172*D173/10</f>
        <v>38.6975</v>
      </c>
      <c r="E174" s="19">
        <f aca="true" t="shared" si="93" ref="E174:S174">E172*E173/10</f>
        <v>20.043</v>
      </c>
      <c r="F174" s="19">
        <f t="shared" si="93"/>
        <v>31.9</v>
      </c>
      <c r="G174" s="19">
        <f t="shared" si="93"/>
        <v>55</v>
      </c>
      <c r="H174" s="19">
        <f t="shared" si="93"/>
        <v>55.08</v>
      </c>
      <c r="I174" s="19">
        <f t="shared" si="93"/>
        <v>90</v>
      </c>
      <c r="J174" s="19">
        <f t="shared" si="93"/>
        <v>4.125</v>
      </c>
      <c r="K174" s="19">
        <f t="shared" si="93"/>
        <v>106.75</v>
      </c>
      <c r="L174" s="62">
        <f t="shared" si="77"/>
        <v>193.80900508351488</v>
      </c>
      <c r="M174" s="62">
        <f t="shared" si="78"/>
        <v>118.61111111111111</v>
      </c>
      <c r="N174" s="19">
        <f>N172*N173/10</f>
        <v>108.5</v>
      </c>
      <c r="O174" s="155">
        <f t="shared" si="79"/>
        <v>101.63934426229508</v>
      </c>
      <c r="P174" s="19">
        <f t="shared" si="93"/>
        <v>117.8</v>
      </c>
      <c r="Q174" s="19">
        <f t="shared" si="93"/>
        <v>119.35</v>
      </c>
      <c r="R174" s="19">
        <f t="shared" si="93"/>
        <v>119.35</v>
      </c>
      <c r="S174" s="19">
        <f t="shared" si="93"/>
        <v>124</v>
      </c>
      <c r="T174" s="156">
        <f t="shared" si="72"/>
        <v>268.773</v>
      </c>
      <c r="U174" s="156">
        <f t="shared" si="73"/>
        <v>589</v>
      </c>
      <c r="Y174" s="152"/>
    </row>
    <row r="175" spans="1:25" s="41" customFormat="1" ht="12.75">
      <c r="A175" s="5">
        <v>2</v>
      </c>
      <c r="B175" s="27" t="s">
        <v>69</v>
      </c>
      <c r="C175" s="10" t="s">
        <v>28</v>
      </c>
      <c r="D175" s="49"/>
      <c r="E175" s="21">
        <v>56</v>
      </c>
      <c r="F175" s="21">
        <v>63</v>
      </c>
      <c r="G175" s="21">
        <v>73</v>
      </c>
      <c r="H175" s="21">
        <v>73</v>
      </c>
      <c r="I175" s="21">
        <v>85</v>
      </c>
      <c r="J175" s="21">
        <v>64</v>
      </c>
      <c r="K175" s="21">
        <v>64</v>
      </c>
      <c r="L175" s="62">
        <f t="shared" si="77"/>
        <v>87.67123287671232</v>
      </c>
      <c r="M175" s="62">
        <f t="shared" si="78"/>
        <v>75.29411764705883</v>
      </c>
      <c r="N175" s="21">
        <v>85</v>
      </c>
      <c r="O175" s="155">
        <f t="shared" si="79"/>
        <v>132.8125</v>
      </c>
      <c r="P175" s="21">
        <v>110</v>
      </c>
      <c r="Q175" s="21">
        <v>120</v>
      </c>
      <c r="R175" s="21">
        <v>135</v>
      </c>
      <c r="S175" s="21">
        <v>150</v>
      </c>
      <c r="T175" s="156">
        <f t="shared" si="72"/>
        <v>329</v>
      </c>
      <c r="U175" s="156">
        <f t="shared" si="73"/>
        <v>600</v>
      </c>
      <c r="Y175" s="152"/>
    </row>
    <row r="176" spans="1:25" s="41" customFormat="1" ht="12.75">
      <c r="A176" s="5"/>
      <c r="B176" s="28" t="s">
        <v>4</v>
      </c>
      <c r="C176" s="10" t="s">
        <v>68</v>
      </c>
      <c r="D176" s="49"/>
      <c r="E176" s="21">
        <v>10</v>
      </c>
      <c r="F176" s="21">
        <v>12</v>
      </c>
      <c r="G176" s="21">
        <v>12</v>
      </c>
      <c r="H176" s="21">
        <v>8.3</v>
      </c>
      <c r="I176" s="21">
        <v>14.5</v>
      </c>
      <c r="J176" s="21">
        <v>3.5</v>
      </c>
      <c r="K176" s="21">
        <v>10</v>
      </c>
      <c r="L176" s="62">
        <f t="shared" si="77"/>
        <v>120.48192771084337</v>
      </c>
      <c r="M176" s="62">
        <f t="shared" si="78"/>
        <v>68.96551724137932</v>
      </c>
      <c r="N176" s="21">
        <v>14.5</v>
      </c>
      <c r="O176" s="155">
        <f t="shared" si="79"/>
        <v>145</v>
      </c>
      <c r="P176" s="21">
        <v>14</v>
      </c>
      <c r="Q176" s="21">
        <v>14</v>
      </c>
      <c r="R176" s="21">
        <v>14</v>
      </c>
      <c r="S176" s="21">
        <v>14</v>
      </c>
      <c r="T176" s="156">
        <f t="shared" si="72"/>
        <v>52.3</v>
      </c>
      <c r="U176" s="156">
        <f t="shared" si="73"/>
        <v>70.5</v>
      </c>
      <c r="Y176" s="152"/>
    </row>
    <row r="177" spans="1:25" s="41" customFormat="1" ht="12.75">
      <c r="A177" s="5"/>
      <c r="B177" s="28" t="s">
        <v>67</v>
      </c>
      <c r="C177" s="10" t="s">
        <v>30</v>
      </c>
      <c r="D177" s="49">
        <f aca="true" t="shared" si="94" ref="D177:S177">D175*D176/10</f>
        <v>0</v>
      </c>
      <c r="E177" s="21">
        <f t="shared" si="94"/>
        <v>56</v>
      </c>
      <c r="F177" s="21">
        <f t="shared" si="94"/>
        <v>75.6</v>
      </c>
      <c r="G177" s="21">
        <f t="shared" si="94"/>
        <v>87.6</v>
      </c>
      <c r="H177" s="21">
        <f t="shared" si="94"/>
        <v>60.59000000000001</v>
      </c>
      <c r="I177" s="21">
        <f t="shared" si="94"/>
        <v>123.25</v>
      </c>
      <c r="J177" s="21">
        <f t="shared" si="94"/>
        <v>22.4</v>
      </c>
      <c r="K177" s="21">
        <f t="shared" si="94"/>
        <v>64</v>
      </c>
      <c r="L177" s="62">
        <f t="shared" si="77"/>
        <v>105.62799141772568</v>
      </c>
      <c r="M177" s="62">
        <f t="shared" si="78"/>
        <v>51.926977687626774</v>
      </c>
      <c r="N177" s="21">
        <f>N175*N176/10</f>
        <v>123.25</v>
      </c>
      <c r="O177" s="155">
        <f t="shared" si="79"/>
        <v>192.578125</v>
      </c>
      <c r="P177" s="21">
        <f t="shared" si="94"/>
        <v>154</v>
      </c>
      <c r="Q177" s="21">
        <f t="shared" si="94"/>
        <v>168</v>
      </c>
      <c r="R177" s="21">
        <f t="shared" si="94"/>
        <v>189</v>
      </c>
      <c r="S177" s="21">
        <f t="shared" si="94"/>
        <v>210</v>
      </c>
      <c r="T177" s="156">
        <f t="shared" si="72"/>
        <v>343.79</v>
      </c>
      <c r="U177" s="156">
        <f t="shared" si="73"/>
        <v>844.25</v>
      </c>
      <c r="Y177" s="152"/>
    </row>
    <row r="178" spans="1:25" s="179" customFormat="1" ht="12.75">
      <c r="A178" s="1">
        <v>3</v>
      </c>
      <c r="B178" s="18" t="s">
        <v>29</v>
      </c>
      <c r="C178" s="1" t="s">
        <v>30</v>
      </c>
      <c r="D178" s="176">
        <f>D179+D181</f>
        <v>77.39750000000001</v>
      </c>
      <c r="E178" s="35">
        <f aca="true" t="shared" si="95" ref="E178:S178">E179+E181</f>
        <v>93.043</v>
      </c>
      <c r="F178" s="35">
        <f t="shared" si="95"/>
        <v>167.5</v>
      </c>
      <c r="G178" s="35">
        <f t="shared" si="95"/>
        <v>170.2</v>
      </c>
      <c r="H178" s="35">
        <f t="shared" si="95"/>
        <v>155.27</v>
      </c>
      <c r="I178" s="35">
        <f t="shared" si="95"/>
        <v>288.25</v>
      </c>
      <c r="J178" s="35">
        <f t="shared" si="95"/>
        <v>52.724999999999994</v>
      </c>
      <c r="K178" s="35">
        <f t="shared" si="95"/>
        <v>245.75</v>
      </c>
      <c r="L178" s="61">
        <f t="shared" si="77"/>
        <v>158.27268628840082</v>
      </c>
      <c r="M178" s="61">
        <f t="shared" si="78"/>
        <v>85.2558542931483</v>
      </c>
      <c r="N178" s="35">
        <f>N179+N181</f>
        <v>306.75</v>
      </c>
      <c r="O178" s="151">
        <f t="shared" si="79"/>
        <v>124.82197355035605</v>
      </c>
      <c r="P178" s="35">
        <f t="shared" si="95"/>
        <v>356.8</v>
      </c>
      <c r="Q178" s="35">
        <f t="shared" si="95"/>
        <v>377.35</v>
      </c>
      <c r="R178" s="35">
        <f t="shared" si="95"/>
        <v>403.35</v>
      </c>
      <c r="S178" s="35">
        <f t="shared" si="95"/>
        <v>434</v>
      </c>
      <c r="T178" s="20">
        <f t="shared" si="72"/>
        <v>831.763</v>
      </c>
      <c r="U178" s="20">
        <f t="shared" si="73"/>
        <v>1878.25</v>
      </c>
      <c r="Y178" s="152"/>
    </row>
    <row r="179" spans="1:25" s="166" customFormat="1" ht="12.75">
      <c r="A179" s="33" t="s">
        <v>3</v>
      </c>
      <c r="B179" s="13" t="s">
        <v>32</v>
      </c>
      <c r="C179" s="33" t="s">
        <v>30</v>
      </c>
      <c r="D179" s="163">
        <f>D174+D177</f>
        <v>38.6975</v>
      </c>
      <c r="E179" s="34">
        <f aca="true" t="shared" si="96" ref="E179:S179">E174+E177</f>
        <v>76.043</v>
      </c>
      <c r="F179" s="34">
        <f t="shared" si="96"/>
        <v>107.5</v>
      </c>
      <c r="G179" s="34">
        <f t="shared" si="96"/>
        <v>142.6</v>
      </c>
      <c r="H179" s="34">
        <f t="shared" si="96"/>
        <v>115.67000000000002</v>
      </c>
      <c r="I179" s="34">
        <f t="shared" si="96"/>
        <v>213.25</v>
      </c>
      <c r="J179" s="34">
        <f t="shared" si="96"/>
        <v>26.525</v>
      </c>
      <c r="K179" s="34">
        <f t="shared" si="96"/>
        <v>170.75</v>
      </c>
      <c r="L179" s="62">
        <f t="shared" si="77"/>
        <v>147.61822425866688</v>
      </c>
      <c r="M179" s="62">
        <f t="shared" si="78"/>
        <v>80.07033997655334</v>
      </c>
      <c r="N179" s="34">
        <f>N174+N177</f>
        <v>231.75</v>
      </c>
      <c r="O179" s="155">
        <f t="shared" si="79"/>
        <v>135.7247437774524</v>
      </c>
      <c r="P179" s="34">
        <f t="shared" si="96"/>
        <v>271.8</v>
      </c>
      <c r="Q179" s="34">
        <f t="shared" si="96"/>
        <v>287.35</v>
      </c>
      <c r="R179" s="34">
        <f t="shared" si="96"/>
        <v>308.35</v>
      </c>
      <c r="S179" s="34">
        <f t="shared" si="96"/>
        <v>334</v>
      </c>
      <c r="T179" s="156">
        <f t="shared" si="72"/>
        <v>612.5630000000001</v>
      </c>
      <c r="U179" s="156">
        <f t="shared" si="73"/>
        <v>1433.25</v>
      </c>
      <c r="Y179" s="152"/>
    </row>
    <row r="180" spans="1:25" s="166" customFormat="1" ht="12.75">
      <c r="A180" s="33"/>
      <c r="B180" s="13" t="s">
        <v>112</v>
      </c>
      <c r="C180" s="33" t="s">
        <v>77</v>
      </c>
      <c r="D180" s="163">
        <f>D179*35/1000</f>
        <v>1.3544125</v>
      </c>
      <c r="E180" s="34">
        <f aca="true" t="shared" si="97" ref="E180:S180">E179*35/1000</f>
        <v>2.661505</v>
      </c>
      <c r="F180" s="34">
        <f>F179*35/1000</f>
        <v>3.7625</v>
      </c>
      <c r="G180" s="34">
        <f t="shared" si="97"/>
        <v>4.991</v>
      </c>
      <c r="H180" s="34">
        <f t="shared" si="97"/>
        <v>4.048450000000001</v>
      </c>
      <c r="I180" s="34">
        <f t="shared" si="97"/>
        <v>7.46375</v>
      </c>
      <c r="J180" s="34">
        <f t="shared" si="97"/>
        <v>0.928375</v>
      </c>
      <c r="K180" s="34">
        <f t="shared" si="97"/>
        <v>5.97625</v>
      </c>
      <c r="L180" s="62">
        <f t="shared" si="77"/>
        <v>147.61822425866688</v>
      </c>
      <c r="M180" s="62">
        <f t="shared" si="78"/>
        <v>80.07033997655334</v>
      </c>
      <c r="N180" s="34">
        <f t="shared" si="97"/>
        <v>8.11125</v>
      </c>
      <c r="O180" s="155">
        <f t="shared" si="79"/>
        <v>135.7247437774524</v>
      </c>
      <c r="P180" s="34">
        <f t="shared" si="97"/>
        <v>9.513</v>
      </c>
      <c r="Q180" s="34">
        <f t="shared" si="97"/>
        <v>10.05725</v>
      </c>
      <c r="R180" s="34">
        <f t="shared" si="97"/>
        <v>10.79225</v>
      </c>
      <c r="S180" s="34">
        <f t="shared" si="97"/>
        <v>11.69</v>
      </c>
      <c r="T180" s="156">
        <f t="shared" si="72"/>
        <v>21.439705000000004</v>
      </c>
      <c r="U180" s="156">
        <f t="shared" si="73"/>
        <v>50.16375</v>
      </c>
      <c r="Y180" s="152"/>
    </row>
    <row r="181" spans="1:25" s="158" customFormat="1" ht="12.75">
      <c r="A181" s="5" t="s">
        <v>3</v>
      </c>
      <c r="B181" s="27" t="s">
        <v>31</v>
      </c>
      <c r="C181" s="5" t="s">
        <v>30</v>
      </c>
      <c r="D181" s="49">
        <v>38.7</v>
      </c>
      <c r="E181" s="21">
        <v>17</v>
      </c>
      <c r="F181" s="21">
        <v>60</v>
      </c>
      <c r="G181" s="21">
        <v>27.6</v>
      </c>
      <c r="H181" s="21">
        <v>39.6</v>
      </c>
      <c r="I181" s="21">
        <v>75</v>
      </c>
      <c r="J181" s="21">
        <v>26.2</v>
      </c>
      <c r="K181" s="21">
        <v>75</v>
      </c>
      <c r="L181" s="62">
        <f t="shared" si="77"/>
        <v>189.39393939393938</v>
      </c>
      <c r="M181" s="62">
        <f t="shared" si="78"/>
        <v>100</v>
      </c>
      <c r="N181" s="21">
        <v>75</v>
      </c>
      <c r="O181" s="155">
        <f t="shared" si="79"/>
        <v>100</v>
      </c>
      <c r="P181" s="21">
        <v>85</v>
      </c>
      <c r="Q181" s="21">
        <v>90</v>
      </c>
      <c r="R181" s="21">
        <v>95</v>
      </c>
      <c r="S181" s="21">
        <v>100</v>
      </c>
      <c r="T181" s="156">
        <f t="shared" si="72"/>
        <v>219.2</v>
      </c>
      <c r="U181" s="156">
        <f t="shared" si="73"/>
        <v>445</v>
      </c>
      <c r="Y181" s="152"/>
    </row>
    <row r="182" spans="1:25" s="180" customFormat="1" ht="12.75">
      <c r="A182" s="14"/>
      <c r="B182" s="13" t="s">
        <v>113</v>
      </c>
      <c r="C182" s="33" t="s">
        <v>77</v>
      </c>
      <c r="D182" s="54">
        <f aca="true" t="shared" si="98" ref="D182:S182">D181*35/1000</f>
        <v>1.3545</v>
      </c>
      <c r="E182" s="52">
        <f t="shared" si="98"/>
        <v>0.595</v>
      </c>
      <c r="F182" s="52">
        <f t="shared" si="98"/>
        <v>2.1</v>
      </c>
      <c r="G182" s="52">
        <f t="shared" si="98"/>
        <v>0.966</v>
      </c>
      <c r="H182" s="52">
        <f t="shared" si="98"/>
        <v>1.386</v>
      </c>
      <c r="I182" s="52">
        <f t="shared" si="98"/>
        <v>2.625</v>
      </c>
      <c r="J182" s="52">
        <f t="shared" si="98"/>
        <v>0.917</v>
      </c>
      <c r="K182" s="52">
        <f t="shared" si="98"/>
        <v>2.625</v>
      </c>
      <c r="L182" s="62">
        <f t="shared" si="77"/>
        <v>189.3939393939394</v>
      </c>
      <c r="M182" s="62">
        <f t="shared" si="78"/>
        <v>100</v>
      </c>
      <c r="N182" s="52">
        <f t="shared" si="98"/>
        <v>2.625</v>
      </c>
      <c r="O182" s="155">
        <f t="shared" si="79"/>
        <v>100</v>
      </c>
      <c r="P182" s="52">
        <f t="shared" si="98"/>
        <v>2.975</v>
      </c>
      <c r="Q182" s="52">
        <f t="shared" si="98"/>
        <v>3.15</v>
      </c>
      <c r="R182" s="52">
        <f t="shared" si="98"/>
        <v>3.325</v>
      </c>
      <c r="S182" s="52">
        <f t="shared" si="98"/>
        <v>3.5</v>
      </c>
      <c r="T182" s="156">
        <f t="shared" si="72"/>
        <v>7.672000000000001</v>
      </c>
      <c r="U182" s="156">
        <f t="shared" si="73"/>
        <v>15.575</v>
      </c>
      <c r="Y182" s="152"/>
    </row>
  </sheetData>
  <sheetProtection/>
  <mergeCells count="20">
    <mergeCell ref="A2:U2"/>
    <mergeCell ref="A3:U3"/>
    <mergeCell ref="A4:A5"/>
    <mergeCell ref="B4:B5"/>
    <mergeCell ref="C4:C5"/>
    <mergeCell ref="I4:M4"/>
    <mergeCell ref="N4:N5"/>
    <mergeCell ref="O4:O5"/>
    <mergeCell ref="T4:T5"/>
    <mergeCell ref="U4:U5"/>
    <mergeCell ref="A1:O1"/>
    <mergeCell ref="Q4:Q5"/>
    <mergeCell ref="R4:R5"/>
    <mergeCell ref="S4:S5"/>
    <mergeCell ref="D4:D5"/>
    <mergeCell ref="E4:E5"/>
    <mergeCell ref="F4:F5"/>
    <mergeCell ref="G4:G5"/>
    <mergeCell ref="H4:H5"/>
    <mergeCell ref="P4:P5"/>
  </mergeCells>
  <printOptions/>
  <pageMargins left="0.1968503937007874" right="0.1968503937007874" top="0.46" bottom="0.1968503937007874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5.7109375" style="66" customWidth="1"/>
    <col min="2" max="2" width="42.28125" style="0" customWidth="1"/>
    <col min="3" max="3" width="11.8515625" style="66" customWidth="1"/>
    <col min="4" max="4" width="11.00390625" style="67" customWidth="1"/>
    <col min="5" max="5" width="10.140625" style="67" customWidth="1"/>
    <col min="6" max="7" width="10.28125" style="67" customWidth="1"/>
    <col min="8" max="8" width="10.7109375" style="67" customWidth="1"/>
    <col min="9" max="9" width="10.7109375" style="68" customWidth="1"/>
    <col min="10" max="10" width="10.00390625" style="67" customWidth="1"/>
    <col min="11" max="11" width="10.7109375" style="67" customWidth="1"/>
  </cols>
  <sheetData>
    <row r="1" spans="1:11" ht="20.25" customHeight="1">
      <c r="A1" s="137" t="s">
        <v>269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6.5">
      <c r="A2" s="127" t="s">
        <v>271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spans="1:11" ht="24.75" customHeight="1">
      <c r="A4" s="128" t="s">
        <v>145</v>
      </c>
      <c r="B4" s="128" t="s">
        <v>65</v>
      </c>
      <c r="C4" s="128" t="s">
        <v>146</v>
      </c>
      <c r="D4" s="129" t="s">
        <v>147</v>
      </c>
      <c r="E4" s="130" t="s">
        <v>131</v>
      </c>
      <c r="F4" s="131"/>
      <c r="G4" s="131"/>
      <c r="H4" s="131"/>
      <c r="I4" s="132" t="s">
        <v>148</v>
      </c>
      <c r="J4" s="133"/>
      <c r="K4" s="134"/>
    </row>
    <row r="5" spans="1:11" ht="85.5">
      <c r="A5" s="128"/>
      <c r="B5" s="128"/>
      <c r="C5" s="128"/>
      <c r="D5" s="129"/>
      <c r="E5" s="115" t="s">
        <v>149</v>
      </c>
      <c r="F5" s="115" t="s">
        <v>150</v>
      </c>
      <c r="G5" s="115" t="s">
        <v>151</v>
      </c>
      <c r="H5" s="115" t="s">
        <v>152</v>
      </c>
      <c r="I5" s="116" t="s">
        <v>153</v>
      </c>
      <c r="J5" s="117" t="s">
        <v>154</v>
      </c>
      <c r="K5" s="117" t="s">
        <v>155</v>
      </c>
    </row>
    <row r="6" spans="1:11" ht="18.75" customHeight="1">
      <c r="A6" s="70">
        <v>1</v>
      </c>
      <c r="B6" s="70">
        <v>2</v>
      </c>
      <c r="C6" s="70">
        <v>3</v>
      </c>
      <c r="D6" s="71">
        <v>4</v>
      </c>
      <c r="E6" s="71">
        <v>5</v>
      </c>
      <c r="F6" s="71">
        <v>6</v>
      </c>
      <c r="G6" s="71">
        <v>7</v>
      </c>
      <c r="H6" s="69" t="s">
        <v>156</v>
      </c>
      <c r="I6" s="71">
        <v>9</v>
      </c>
      <c r="J6" s="69" t="s">
        <v>157</v>
      </c>
      <c r="K6" s="69" t="s">
        <v>158</v>
      </c>
    </row>
    <row r="7" spans="1:11" s="75" customFormat="1" ht="19.5" customHeight="1">
      <c r="A7" s="70">
        <v>1</v>
      </c>
      <c r="B7" s="72" t="s">
        <v>159</v>
      </c>
      <c r="C7" s="70" t="s">
        <v>160</v>
      </c>
      <c r="D7" s="73">
        <f aca="true" t="shared" si="0" ref="D7:K7">D8</f>
        <v>56.71946449502724</v>
      </c>
      <c r="E7" s="73">
        <f t="shared" si="0"/>
        <v>3.4123011108468546</v>
      </c>
      <c r="F7" s="73">
        <f t="shared" si="0"/>
        <v>-63.54141521887874</v>
      </c>
      <c r="G7" s="73">
        <f t="shared" si="0"/>
        <v>0.7906290982840289</v>
      </c>
      <c r="H7" s="73">
        <f t="shared" si="0"/>
        <v>1.3939290600202083</v>
      </c>
      <c r="I7" s="105">
        <f t="shared" si="0"/>
        <v>31.407110534708465</v>
      </c>
      <c r="J7" s="73">
        <f t="shared" si="0"/>
        <v>920.4085312070816</v>
      </c>
      <c r="K7" s="73">
        <f t="shared" si="0"/>
        <v>3972.4202667058485</v>
      </c>
    </row>
    <row r="8" spans="1:11" s="75" customFormat="1" ht="19.5" customHeight="1">
      <c r="A8" s="70" t="s">
        <v>3</v>
      </c>
      <c r="B8" s="72" t="s">
        <v>161</v>
      </c>
      <c r="C8" s="70" t="s">
        <v>160</v>
      </c>
      <c r="D8" s="73">
        <f>'B04'!H6</f>
        <v>56.71946449502724</v>
      </c>
      <c r="E8" s="73">
        <f>'B04'!I6</f>
        <v>3.4123011108468546</v>
      </c>
      <c r="F8" s="73">
        <f>'B04'!J6</f>
        <v>-63.54141521887874</v>
      </c>
      <c r="G8" s="73">
        <f>'B04'!K6</f>
        <v>0.7906290982840289</v>
      </c>
      <c r="H8" s="73">
        <f>G8/D8*100</f>
        <v>1.3939290600202083</v>
      </c>
      <c r="I8" s="105">
        <f>'B04'!N6</f>
        <v>31.407110534708465</v>
      </c>
      <c r="J8" s="73">
        <f>I8/E8*100</f>
        <v>920.4085312070816</v>
      </c>
      <c r="K8" s="73">
        <f>I8/G8*100</f>
        <v>3972.4202667058485</v>
      </c>
    </row>
    <row r="9" spans="1:11" s="75" customFormat="1" ht="19.5" customHeight="1" hidden="1">
      <c r="A9" s="70" t="s">
        <v>3</v>
      </c>
      <c r="B9" s="72" t="s">
        <v>162</v>
      </c>
      <c r="C9" s="70" t="s">
        <v>160</v>
      </c>
      <c r="D9" s="73"/>
      <c r="E9" s="73"/>
      <c r="F9" s="73"/>
      <c r="G9" s="73"/>
      <c r="H9" s="73"/>
      <c r="I9" s="74"/>
      <c r="J9" s="73"/>
      <c r="K9" s="73"/>
    </row>
    <row r="10" spans="1:11" s="75" customFormat="1" ht="19.5" customHeight="1" hidden="1">
      <c r="A10" s="70" t="s">
        <v>3</v>
      </c>
      <c r="B10" s="72" t="s">
        <v>163</v>
      </c>
      <c r="C10" s="70" t="s">
        <v>160</v>
      </c>
      <c r="D10" s="73"/>
      <c r="E10" s="73"/>
      <c r="F10" s="73"/>
      <c r="G10" s="73"/>
      <c r="H10" s="73"/>
      <c r="I10" s="74"/>
      <c r="J10" s="73"/>
      <c r="K10" s="73"/>
    </row>
    <row r="11" spans="1:11" s="75" customFormat="1" ht="19.5" customHeight="1" hidden="1">
      <c r="A11" s="70" t="s">
        <v>3</v>
      </c>
      <c r="B11" s="72" t="s">
        <v>164</v>
      </c>
      <c r="C11" s="70" t="s">
        <v>160</v>
      </c>
      <c r="D11" s="73"/>
      <c r="E11" s="73"/>
      <c r="F11" s="73"/>
      <c r="G11" s="73"/>
      <c r="H11" s="73"/>
      <c r="I11" s="74"/>
      <c r="J11" s="73"/>
      <c r="K11" s="73"/>
    </row>
    <row r="12" spans="1:11" s="75" customFormat="1" ht="31.5">
      <c r="A12" s="111">
        <v>2</v>
      </c>
      <c r="B12" s="112" t="s">
        <v>165</v>
      </c>
      <c r="C12" s="111" t="s">
        <v>166</v>
      </c>
      <c r="D12" s="113">
        <f>D13</f>
        <v>858.2392492452501</v>
      </c>
      <c r="E12" s="113">
        <f aca="true" t="shared" si="1" ref="E12:K12">E13</f>
        <v>882.556164032</v>
      </c>
      <c r="F12" s="113">
        <f t="shared" si="1"/>
        <v>326.6464089999999</v>
      </c>
      <c r="G12" s="113">
        <f t="shared" si="1"/>
        <v>869.2807804999999</v>
      </c>
      <c r="H12" s="113">
        <f t="shared" si="1"/>
        <v>101.28653301098265</v>
      </c>
      <c r="I12" s="114">
        <f t="shared" si="1"/>
        <v>1163.0745660999996</v>
      </c>
      <c r="J12" s="113">
        <f t="shared" si="1"/>
        <v>131.78476492492422</v>
      </c>
      <c r="K12" s="113">
        <f t="shared" si="1"/>
        <v>133.79734053604787</v>
      </c>
    </row>
    <row r="13" spans="1:11" s="75" customFormat="1" ht="19.5" customHeight="1">
      <c r="A13" s="70" t="s">
        <v>3</v>
      </c>
      <c r="B13" s="72" t="s">
        <v>161</v>
      </c>
      <c r="C13" s="70" t="s">
        <v>166</v>
      </c>
      <c r="D13" s="73">
        <f>'B 05'!H6</f>
        <v>858.2392492452501</v>
      </c>
      <c r="E13" s="73">
        <f>'B 05'!I6</f>
        <v>882.556164032</v>
      </c>
      <c r="F13" s="73">
        <f>'B 05'!J6</f>
        <v>326.6464089999999</v>
      </c>
      <c r="G13" s="73">
        <f>'B 05'!K6</f>
        <v>869.2807804999999</v>
      </c>
      <c r="H13" s="73">
        <f>G13/D13*100</f>
        <v>101.28653301098265</v>
      </c>
      <c r="I13" s="74">
        <f>'B 05'!N6</f>
        <v>1163.0745660999996</v>
      </c>
      <c r="J13" s="73">
        <f aca="true" t="shared" si="2" ref="J13:J66">I13/E13*100</f>
        <v>131.78476492492422</v>
      </c>
      <c r="K13" s="73">
        <f aca="true" t="shared" si="3" ref="K13:K65">I13/G13*100</f>
        <v>133.79734053604787</v>
      </c>
    </row>
    <row r="14" spans="1:11" s="75" customFormat="1" ht="19.5" customHeight="1" hidden="1">
      <c r="A14" s="70" t="s">
        <v>3</v>
      </c>
      <c r="B14" s="72" t="s">
        <v>162</v>
      </c>
      <c r="C14" s="70" t="s">
        <v>166</v>
      </c>
      <c r="D14" s="73"/>
      <c r="E14" s="73"/>
      <c r="F14" s="73"/>
      <c r="G14" s="73"/>
      <c r="H14" s="73" t="e">
        <f aca="true" t="shared" si="4" ref="H14:H65">G14/D14*100</f>
        <v>#DIV/0!</v>
      </c>
      <c r="I14" s="74"/>
      <c r="J14" s="73" t="e">
        <f t="shared" si="2"/>
        <v>#DIV/0!</v>
      </c>
      <c r="K14" s="73" t="e">
        <f t="shared" si="3"/>
        <v>#DIV/0!</v>
      </c>
    </row>
    <row r="15" spans="1:11" s="75" customFormat="1" ht="19.5" customHeight="1" hidden="1">
      <c r="A15" s="70" t="s">
        <v>3</v>
      </c>
      <c r="B15" s="72" t="s">
        <v>163</v>
      </c>
      <c r="C15" s="70" t="s">
        <v>166</v>
      </c>
      <c r="D15" s="73"/>
      <c r="E15" s="73"/>
      <c r="F15" s="73"/>
      <c r="G15" s="73"/>
      <c r="H15" s="73" t="e">
        <f t="shared" si="4"/>
        <v>#DIV/0!</v>
      </c>
      <c r="I15" s="74"/>
      <c r="J15" s="73" t="e">
        <f t="shared" si="2"/>
        <v>#DIV/0!</v>
      </c>
      <c r="K15" s="73" t="e">
        <f t="shared" si="3"/>
        <v>#DIV/0!</v>
      </c>
    </row>
    <row r="16" spans="1:11" s="75" customFormat="1" ht="19.5" customHeight="1" hidden="1">
      <c r="A16" s="70" t="s">
        <v>3</v>
      </c>
      <c r="B16" s="72" t="s">
        <v>164</v>
      </c>
      <c r="C16" s="70" t="s">
        <v>166</v>
      </c>
      <c r="D16" s="73"/>
      <c r="E16" s="73"/>
      <c r="F16" s="73"/>
      <c r="G16" s="73"/>
      <c r="H16" s="73" t="e">
        <f t="shared" si="4"/>
        <v>#DIV/0!</v>
      </c>
      <c r="I16" s="74"/>
      <c r="J16" s="73" t="e">
        <f t="shared" si="2"/>
        <v>#DIV/0!</v>
      </c>
      <c r="K16" s="73" t="e">
        <f t="shared" si="3"/>
        <v>#DIV/0!</v>
      </c>
    </row>
    <row r="17" spans="1:11" s="75" customFormat="1" ht="19.5" customHeight="1" hidden="1">
      <c r="A17" s="70">
        <v>3</v>
      </c>
      <c r="B17" s="72" t="s">
        <v>167</v>
      </c>
      <c r="C17" s="76"/>
      <c r="D17" s="73"/>
      <c r="E17" s="73"/>
      <c r="F17" s="73"/>
      <c r="G17" s="73"/>
      <c r="H17" s="73" t="e">
        <f t="shared" si="4"/>
        <v>#DIV/0!</v>
      </c>
      <c r="I17" s="74"/>
      <c r="J17" s="73" t="e">
        <f t="shared" si="2"/>
        <v>#DIV/0!</v>
      </c>
      <c r="K17" s="73" t="e">
        <f t="shared" si="3"/>
        <v>#DIV/0!</v>
      </c>
    </row>
    <row r="18" spans="1:11" s="75" customFormat="1" ht="19.5" customHeight="1" hidden="1">
      <c r="A18" s="70" t="s">
        <v>3</v>
      </c>
      <c r="B18" s="72" t="s">
        <v>161</v>
      </c>
      <c r="C18" s="70" t="s">
        <v>160</v>
      </c>
      <c r="D18" s="73"/>
      <c r="E18" s="73"/>
      <c r="F18" s="73"/>
      <c r="G18" s="73"/>
      <c r="H18" s="73" t="e">
        <f t="shared" si="4"/>
        <v>#DIV/0!</v>
      </c>
      <c r="I18" s="74"/>
      <c r="J18" s="73" t="e">
        <f t="shared" si="2"/>
        <v>#DIV/0!</v>
      </c>
      <c r="K18" s="73" t="e">
        <f t="shared" si="3"/>
        <v>#DIV/0!</v>
      </c>
    </row>
    <row r="19" spans="1:11" s="75" customFormat="1" ht="19.5" customHeight="1" hidden="1">
      <c r="A19" s="70" t="s">
        <v>3</v>
      </c>
      <c r="B19" s="72" t="s">
        <v>162</v>
      </c>
      <c r="C19" s="70" t="s">
        <v>160</v>
      </c>
      <c r="D19" s="73"/>
      <c r="E19" s="73"/>
      <c r="F19" s="73"/>
      <c r="G19" s="73"/>
      <c r="H19" s="73" t="e">
        <f t="shared" si="4"/>
        <v>#DIV/0!</v>
      </c>
      <c r="I19" s="74"/>
      <c r="J19" s="73" t="e">
        <f t="shared" si="2"/>
        <v>#DIV/0!</v>
      </c>
      <c r="K19" s="73" t="e">
        <f t="shared" si="3"/>
        <v>#DIV/0!</v>
      </c>
    </row>
    <row r="20" spans="1:11" s="75" customFormat="1" ht="19.5" customHeight="1" hidden="1">
      <c r="A20" s="70" t="s">
        <v>3</v>
      </c>
      <c r="B20" s="72" t="s">
        <v>163</v>
      </c>
      <c r="C20" s="70" t="s">
        <v>160</v>
      </c>
      <c r="D20" s="73"/>
      <c r="E20" s="73"/>
      <c r="F20" s="73"/>
      <c r="G20" s="73"/>
      <c r="H20" s="73" t="e">
        <f t="shared" si="4"/>
        <v>#DIV/0!</v>
      </c>
      <c r="I20" s="74"/>
      <c r="J20" s="73" t="e">
        <f t="shared" si="2"/>
        <v>#DIV/0!</v>
      </c>
      <c r="K20" s="73" t="e">
        <f t="shared" si="3"/>
        <v>#DIV/0!</v>
      </c>
    </row>
    <row r="21" spans="1:11" s="75" customFormat="1" ht="19.5" customHeight="1" hidden="1">
      <c r="A21" s="70" t="s">
        <v>3</v>
      </c>
      <c r="B21" s="72" t="s">
        <v>164</v>
      </c>
      <c r="C21" s="70" t="s">
        <v>166</v>
      </c>
      <c r="D21" s="73"/>
      <c r="E21" s="73"/>
      <c r="F21" s="73"/>
      <c r="G21" s="73"/>
      <c r="H21" s="73" t="e">
        <f t="shared" si="4"/>
        <v>#DIV/0!</v>
      </c>
      <c r="I21" s="74"/>
      <c r="J21" s="73" t="e">
        <f t="shared" si="2"/>
        <v>#DIV/0!</v>
      </c>
      <c r="K21" s="73" t="e">
        <f t="shared" si="3"/>
        <v>#DIV/0!</v>
      </c>
    </row>
    <row r="22" spans="1:11" s="75" customFormat="1" ht="31.5" hidden="1">
      <c r="A22" s="70">
        <v>4</v>
      </c>
      <c r="B22" s="72" t="s">
        <v>168</v>
      </c>
      <c r="C22" s="70" t="s">
        <v>169</v>
      </c>
      <c r="D22" s="73"/>
      <c r="E22" s="73"/>
      <c r="F22" s="73"/>
      <c r="G22" s="73"/>
      <c r="H22" s="73" t="e">
        <f t="shared" si="4"/>
        <v>#DIV/0!</v>
      </c>
      <c r="I22" s="74"/>
      <c r="J22" s="73" t="e">
        <f t="shared" si="2"/>
        <v>#DIV/0!</v>
      </c>
      <c r="K22" s="73" t="e">
        <f t="shared" si="3"/>
        <v>#DIV/0!</v>
      </c>
    </row>
    <row r="23" spans="1:11" s="75" customFormat="1" ht="19.5" customHeight="1" hidden="1">
      <c r="A23" s="70">
        <v>5</v>
      </c>
      <c r="B23" s="72" t="s">
        <v>170</v>
      </c>
      <c r="C23" s="70" t="s">
        <v>166</v>
      </c>
      <c r="D23" s="73"/>
      <c r="E23" s="73"/>
      <c r="F23" s="73"/>
      <c r="G23" s="73"/>
      <c r="H23" s="73" t="e">
        <f t="shared" si="4"/>
        <v>#DIV/0!</v>
      </c>
      <c r="I23" s="74"/>
      <c r="J23" s="73" t="e">
        <f t="shared" si="2"/>
        <v>#DIV/0!</v>
      </c>
      <c r="K23" s="73" t="e">
        <f t="shared" si="3"/>
        <v>#DIV/0!</v>
      </c>
    </row>
    <row r="24" spans="1:11" s="75" customFormat="1" ht="19.5" customHeight="1" hidden="1">
      <c r="A24" s="70">
        <v>6</v>
      </c>
      <c r="B24" s="72" t="s">
        <v>171</v>
      </c>
      <c r="C24" s="70" t="s">
        <v>172</v>
      </c>
      <c r="D24" s="73"/>
      <c r="E24" s="73"/>
      <c r="F24" s="73"/>
      <c r="G24" s="73"/>
      <c r="H24" s="73" t="e">
        <f t="shared" si="4"/>
        <v>#DIV/0!</v>
      </c>
      <c r="I24" s="74"/>
      <c r="J24" s="73" t="e">
        <f t="shared" si="2"/>
        <v>#DIV/0!</v>
      </c>
      <c r="K24" s="73" t="e">
        <f t="shared" si="3"/>
        <v>#DIV/0!</v>
      </c>
    </row>
    <row r="25" spans="1:11" s="75" customFormat="1" ht="19.5" customHeight="1" hidden="1">
      <c r="A25" s="70">
        <v>7</v>
      </c>
      <c r="B25" s="72" t="s">
        <v>173</v>
      </c>
      <c r="C25" s="70" t="s">
        <v>172</v>
      </c>
      <c r="D25" s="73"/>
      <c r="E25" s="73"/>
      <c r="F25" s="73"/>
      <c r="G25" s="73"/>
      <c r="H25" s="73" t="e">
        <f t="shared" si="4"/>
        <v>#DIV/0!</v>
      </c>
      <c r="I25" s="74"/>
      <c r="J25" s="73" t="e">
        <f t="shared" si="2"/>
        <v>#DIV/0!</v>
      </c>
      <c r="K25" s="73" t="e">
        <f t="shared" si="3"/>
        <v>#DIV/0!</v>
      </c>
    </row>
    <row r="26" spans="1:11" s="75" customFormat="1" ht="19.5" customHeight="1" hidden="1">
      <c r="A26" s="70">
        <v>8</v>
      </c>
      <c r="B26" s="72" t="s">
        <v>174</v>
      </c>
      <c r="C26" s="70" t="s">
        <v>166</v>
      </c>
      <c r="D26" s="73"/>
      <c r="E26" s="73"/>
      <c r="F26" s="73"/>
      <c r="G26" s="73"/>
      <c r="H26" s="73" t="e">
        <f t="shared" si="4"/>
        <v>#DIV/0!</v>
      </c>
      <c r="I26" s="74"/>
      <c r="J26" s="73" t="e">
        <f t="shared" si="2"/>
        <v>#DIV/0!</v>
      </c>
      <c r="K26" s="73" t="e">
        <f t="shared" si="3"/>
        <v>#DIV/0!</v>
      </c>
    </row>
    <row r="27" spans="1:11" s="75" customFormat="1" ht="19.5" customHeight="1" hidden="1">
      <c r="A27" s="70">
        <v>9</v>
      </c>
      <c r="B27" s="72" t="s">
        <v>175</v>
      </c>
      <c r="C27" s="70"/>
      <c r="D27" s="73"/>
      <c r="E27" s="73"/>
      <c r="F27" s="73"/>
      <c r="G27" s="73"/>
      <c r="H27" s="73" t="e">
        <f t="shared" si="4"/>
        <v>#DIV/0!</v>
      </c>
      <c r="I27" s="74"/>
      <c r="J27" s="73" t="e">
        <f t="shared" si="2"/>
        <v>#DIV/0!</v>
      </c>
      <c r="K27" s="73" t="e">
        <f t="shared" si="3"/>
        <v>#DIV/0!</v>
      </c>
    </row>
    <row r="28" spans="1:11" s="75" customFormat="1" ht="19.5" customHeight="1" hidden="1">
      <c r="A28" s="70" t="s">
        <v>3</v>
      </c>
      <c r="B28" s="72" t="s">
        <v>176</v>
      </c>
      <c r="C28" s="70" t="s">
        <v>166</v>
      </c>
      <c r="D28" s="73"/>
      <c r="E28" s="73"/>
      <c r="F28" s="73"/>
      <c r="G28" s="73"/>
      <c r="H28" s="73" t="e">
        <f t="shared" si="4"/>
        <v>#DIV/0!</v>
      </c>
      <c r="I28" s="74"/>
      <c r="J28" s="73" t="e">
        <f t="shared" si="2"/>
        <v>#DIV/0!</v>
      </c>
      <c r="K28" s="73" t="e">
        <f t="shared" si="3"/>
        <v>#DIV/0!</v>
      </c>
    </row>
    <row r="29" spans="1:11" s="81" customFormat="1" ht="19.5" customHeight="1" hidden="1">
      <c r="A29" s="77" t="s">
        <v>60</v>
      </c>
      <c r="B29" s="78" t="s">
        <v>177</v>
      </c>
      <c r="C29" s="77" t="s">
        <v>166</v>
      </c>
      <c r="D29" s="79"/>
      <c r="E29" s="79"/>
      <c r="F29" s="79"/>
      <c r="G29" s="79"/>
      <c r="H29" s="73" t="e">
        <f t="shared" si="4"/>
        <v>#DIV/0!</v>
      </c>
      <c r="I29" s="80"/>
      <c r="J29" s="73" t="e">
        <f t="shared" si="2"/>
        <v>#DIV/0!</v>
      </c>
      <c r="K29" s="73" t="e">
        <f t="shared" si="3"/>
        <v>#DIV/0!</v>
      </c>
    </row>
    <row r="30" spans="1:11" s="81" customFormat="1" ht="19.5" customHeight="1" hidden="1">
      <c r="A30" s="77"/>
      <c r="B30" s="78" t="s">
        <v>178</v>
      </c>
      <c r="C30" s="77"/>
      <c r="D30" s="79"/>
      <c r="E30" s="79"/>
      <c r="F30" s="79"/>
      <c r="G30" s="79"/>
      <c r="H30" s="73" t="e">
        <f t="shared" si="4"/>
        <v>#DIV/0!</v>
      </c>
      <c r="I30" s="80"/>
      <c r="J30" s="73" t="e">
        <f t="shared" si="2"/>
        <v>#DIV/0!</v>
      </c>
      <c r="K30" s="73" t="e">
        <f t="shared" si="3"/>
        <v>#DIV/0!</v>
      </c>
    </row>
    <row r="31" spans="1:11" s="81" customFormat="1" ht="19.5" customHeight="1" hidden="1">
      <c r="A31" s="77"/>
      <c r="B31" s="78" t="s">
        <v>179</v>
      </c>
      <c r="C31" s="77" t="s">
        <v>166</v>
      </c>
      <c r="D31" s="79"/>
      <c r="E31" s="79"/>
      <c r="F31" s="79"/>
      <c r="G31" s="79"/>
      <c r="H31" s="73" t="e">
        <f t="shared" si="4"/>
        <v>#DIV/0!</v>
      </c>
      <c r="I31" s="80"/>
      <c r="J31" s="73" t="e">
        <f t="shared" si="2"/>
        <v>#DIV/0!</v>
      </c>
      <c r="K31" s="73" t="e">
        <f t="shared" si="3"/>
        <v>#DIV/0!</v>
      </c>
    </row>
    <row r="32" spans="1:11" s="81" customFormat="1" ht="19.5" customHeight="1" hidden="1">
      <c r="A32" s="77"/>
      <c r="B32" s="78" t="s">
        <v>180</v>
      </c>
      <c r="C32" s="77" t="s">
        <v>181</v>
      </c>
      <c r="D32" s="79"/>
      <c r="E32" s="79"/>
      <c r="F32" s="79"/>
      <c r="G32" s="79"/>
      <c r="H32" s="73" t="e">
        <f t="shared" si="4"/>
        <v>#DIV/0!</v>
      </c>
      <c r="I32" s="80"/>
      <c r="J32" s="73" t="e">
        <f t="shared" si="2"/>
        <v>#DIV/0!</v>
      </c>
      <c r="K32" s="73" t="e">
        <f t="shared" si="3"/>
        <v>#DIV/0!</v>
      </c>
    </row>
    <row r="33" spans="1:11" s="75" customFormat="1" ht="31.5" hidden="1">
      <c r="A33" s="70" t="s">
        <v>3</v>
      </c>
      <c r="B33" s="72" t="s">
        <v>182</v>
      </c>
      <c r="C33" s="70" t="s">
        <v>166</v>
      </c>
      <c r="D33" s="73"/>
      <c r="E33" s="73"/>
      <c r="F33" s="73"/>
      <c r="G33" s="73"/>
      <c r="H33" s="73" t="e">
        <f t="shared" si="4"/>
        <v>#DIV/0!</v>
      </c>
      <c r="I33" s="74"/>
      <c r="J33" s="73" t="e">
        <f t="shared" si="2"/>
        <v>#DIV/0!</v>
      </c>
      <c r="K33" s="73" t="e">
        <f t="shared" si="3"/>
        <v>#DIV/0!</v>
      </c>
    </row>
    <row r="34" spans="1:11" s="81" customFormat="1" ht="19.5" customHeight="1" hidden="1">
      <c r="A34" s="77"/>
      <c r="B34" s="78" t="s">
        <v>178</v>
      </c>
      <c r="C34" s="77"/>
      <c r="D34" s="79"/>
      <c r="E34" s="79"/>
      <c r="F34" s="79"/>
      <c r="G34" s="79"/>
      <c r="H34" s="73" t="e">
        <f t="shared" si="4"/>
        <v>#DIV/0!</v>
      </c>
      <c r="I34" s="80"/>
      <c r="J34" s="73" t="e">
        <f t="shared" si="2"/>
        <v>#DIV/0!</v>
      </c>
      <c r="K34" s="73" t="e">
        <f t="shared" si="3"/>
        <v>#DIV/0!</v>
      </c>
    </row>
    <row r="35" spans="1:11" s="81" customFormat="1" ht="19.5" customHeight="1" hidden="1">
      <c r="A35" s="77" t="s">
        <v>60</v>
      </c>
      <c r="B35" s="78" t="s">
        <v>183</v>
      </c>
      <c r="C35" s="77" t="s">
        <v>166</v>
      </c>
      <c r="D35" s="79"/>
      <c r="E35" s="79"/>
      <c r="F35" s="79"/>
      <c r="G35" s="79"/>
      <c r="H35" s="73" t="e">
        <f t="shared" si="4"/>
        <v>#DIV/0!</v>
      </c>
      <c r="I35" s="80"/>
      <c r="J35" s="73" t="e">
        <f t="shared" si="2"/>
        <v>#DIV/0!</v>
      </c>
      <c r="K35" s="73" t="e">
        <f t="shared" si="3"/>
        <v>#DIV/0!</v>
      </c>
    </row>
    <row r="36" spans="1:11" s="81" customFormat="1" ht="31.5" hidden="1">
      <c r="A36" s="77" t="s">
        <v>60</v>
      </c>
      <c r="B36" s="78" t="s">
        <v>184</v>
      </c>
      <c r="C36" s="77" t="s">
        <v>166</v>
      </c>
      <c r="D36" s="79"/>
      <c r="E36" s="79"/>
      <c r="F36" s="79"/>
      <c r="G36" s="79"/>
      <c r="H36" s="73" t="e">
        <f t="shared" si="4"/>
        <v>#DIV/0!</v>
      </c>
      <c r="I36" s="80"/>
      <c r="J36" s="73" t="e">
        <f t="shared" si="2"/>
        <v>#DIV/0!</v>
      </c>
      <c r="K36" s="73" t="e">
        <f t="shared" si="3"/>
        <v>#DIV/0!</v>
      </c>
    </row>
    <row r="37" spans="1:11" s="75" customFormat="1" ht="19.5" customHeight="1" hidden="1">
      <c r="A37" s="70">
        <v>10</v>
      </c>
      <c r="B37" s="72" t="s">
        <v>185</v>
      </c>
      <c r="C37" s="70"/>
      <c r="D37" s="73"/>
      <c r="E37" s="73"/>
      <c r="F37" s="73"/>
      <c r="G37" s="73"/>
      <c r="H37" s="73" t="e">
        <f t="shared" si="4"/>
        <v>#DIV/0!</v>
      </c>
      <c r="I37" s="74"/>
      <c r="J37" s="73" t="e">
        <f t="shared" si="2"/>
        <v>#DIV/0!</v>
      </c>
      <c r="K37" s="73" t="e">
        <f t="shared" si="3"/>
        <v>#DIV/0!</v>
      </c>
    </row>
    <row r="38" spans="1:11" s="75" customFormat="1" ht="19.5" customHeight="1" hidden="1">
      <c r="A38" s="70" t="s">
        <v>3</v>
      </c>
      <c r="B38" s="72" t="s">
        <v>186</v>
      </c>
      <c r="C38" s="70" t="s">
        <v>166</v>
      </c>
      <c r="D38" s="73"/>
      <c r="E38" s="73"/>
      <c r="F38" s="73"/>
      <c r="G38" s="73"/>
      <c r="H38" s="73" t="e">
        <f t="shared" si="4"/>
        <v>#DIV/0!</v>
      </c>
      <c r="I38" s="74"/>
      <c r="J38" s="73" t="e">
        <f t="shared" si="2"/>
        <v>#DIV/0!</v>
      </c>
      <c r="K38" s="73" t="e">
        <f t="shared" si="3"/>
        <v>#DIV/0!</v>
      </c>
    </row>
    <row r="39" spans="1:11" s="81" customFormat="1" ht="19.5" customHeight="1" hidden="1">
      <c r="A39" s="77"/>
      <c r="B39" s="78" t="s">
        <v>178</v>
      </c>
      <c r="C39" s="77"/>
      <c r="D39" s="79"/>
      <c r="E39" s="79"/>
      <c r="F39" s="79"/>
      <c r="G39" s="79"/>
      <c r="H39" s="73" t="e">
        <f t="shared" si="4"/>
        <v>#DIV/0!</v>
      </c>
      <c r="I39" s="80"/>
      <c r="J39" s="73" t="e">
        <f t="shared" si="2"/>
        <v>#DIV/0!</v>
      </c>
      <c r="K39" s="73" t="e">
        <f t="shared" si="3"/>
        <v>#DIV/0!</v>
      </c>
    </row>
    <row r="40" spans="1:11" s="81" customFormat="1" ht="19.5" customHeight="1" hidden="1">
      <c r="A40" s="77" t="s">
        <v>60</v>
      </c>
      <c r="B40" s="78" t="s">
        <v>187</v>
      </c>
      <c r="C40" s="77" t="s">
        <v>166</v>
      </c>
      <c r="D40" s="79"/>
      <c r="E40" s="79"/>
      <c r="F40" s="79"/>
      <c r="G40" s="79"/>
      <c r="H40" s="73" t="e">
        <f t="shared" si="4"/>
        <v>#DIV/0!</v>
      </c>
      <c r="I40" s="80"/>
      <c r="J40" s="73" t="e">
        <f t="shared" si="2"/>
        <v>#DIV/0!</v>
      </c>
      <c r="K40" s="73" t="e">
        <f t="shared" si="3"/>
        <v>#DIV/0!</v>
      </c>
    </row>
    <row r="41" spans="1:11" s="81" customFormat="1" ht="31.5" hidden="1">
      <c r="A41" s="77" t="s">
        <v>60</v>
      </c>
      <c r="B41" s="78" t="s">
        <v>188</v>
      </c>
      <c r="C41" s="77" t="s">
        <v>166</v>
      </c>
      <c r="D41" s="79"/>
      <c r="E41" s="79"/>
      <c r="F41" s="79"/>
      <c r="G41" s="79"/>
      <c r="H41" s="73" t="e">
        <f t="shared" si="4"/>
        <v>#DIV/0!</v>
      </c>
      <c r="I41" s="80"/>
      <c r="J41" s="73" t="e">
        <f t="shared" si="2"/>
        <v>#DIV/0!</v>
      </c>
      <c r="K41" s="73" t="e">
        <f t="shared" si="3"/>
        <v>#DIV/0!</v>
      </c>
    </row>
    <row r="42" spans="1:11" s="75" customFormat="1" ht="19.5" customHeight="1" hidden="1">
      <c r="A42" s="70">
        <v>11</v>
      </c>
      <c r="B42" s="72" t="s">
        <v>189</v>
      </c>
      <c r="C42" s="70" t="s">
        <v>166</v>
      </c>
      <c r="D42" s="73"/>
      <c r="E42" s="73"/>
      <c r="F42" s="73"/>
      <c r="G42" s="73"/>
      <c r="H42" s="73" t="e">
        <f t="shared" si="4"/>
        <v>#DIV/0!</v>
      </c>
      <c r="I42" s="74"/>
      <c r="J42" s="73" t="e">
        <f t="shared" si="2"/>
        <v>#DIV/0!</v>
      </c>
      <c r="K42" s="73" t="e">
        <f t="shared" si="3"/>
        <v>#DIV/0!</v>
      </c>
    </row>
    <row r="43" spans="1:11" s="75" customFormat="1" ht="31.5" hidden="1">
      <c r="A43" s="70">
        <v>12</v>
      </c>
      <c r="B43" s="72" t="s">
        <v>190</v>
      </c>
      <c r="C43" s="70"/>
      <c r="D43" s="73"/>
      <c r="E43" s="73"/>
      <c r="F43" s="73"/>
      <c r="G43" s="73"/>
      <c r="H43" s="73" t="e">
        <f t="shared" si="4"/>
        <v>#DIV/0!</v>
      </c>
      <c r="I43" s="74"/>
      <c r="J43" s="73" t="e">
        <f t="shared" si="2"/>
        <v>#DIV/0!</v>
      </c>
      <c r="K43" s="73" t="e">
        <f t="shared" si="3"/>
        <v>#DIV/0!</v>
      </c>
    </row>
    <row r="44" spans="1:11" s="75" customFormat="1" ht="31.5" hidden="1">
      <c r="A44" s="70">
        <v>13</v>
      </c>
      <c r="B44" s="72" t="s">
        <v>191</v>
      </c>
      <c r="C44" s="70"/>
      <c r="D44" s="73"/>
      <c r="E44" s="73"/>
      <c r="F44" s="73"/>
      <c r="G44" s="73"/>
      <c r="H44" s="73" t="e">
        <f t="shared" si="4"/>
        <v>#DIV/0!</v>
      </c>
      <c r="I44" s="74"/>
      <c r="J44" s="73" t="e">
        <f t="shared" si="2"/>
        <v>#DIV/0!</v>
      </c>
      <c r="K44" s="73" t="e">
        <f t="shared" si="3"/>
        <v>#DIV/0!</v>
      </c>
    </row>
    <row r="45" spans="1:11" s="75" customFormat="1" ht="31.5" hidden="1">
      <c r="A45" s="70">
        <v>14</v>
      </c>
      <c r="B45" s="72" t="s">
        <v>192</v>
      </c>
      <c r="C45" s="70" t="s">
        <v>193</v>
      </c>
      <c r="D45" s="73"/>
      <c r="E45" s="73"/>
      <c r="F45" s="73"/>
      <c r="G45" s="73"/>
      <c r="H45" s="73" t="e">
        <f t="shared" si="4"/>
        <v>#DIV/0!</v>
      </c>
      <c r="I45" s="74"/>
      <c r="J45" s="73" t="e">
        <f t="shared" si="2"/>
        <v>#DIV/0!</v>
      </c>
      <c r="K45" s="73" t="e">
        <f t="shared" si="3"/>
        <v>#DIV/0!</v>
      </c>
    </row>
    <row r="46" spans="1:11" s="75" customFormat="1" ht="19.5" customHeight="1" hidden="1">
      <c r="A46" s="70">
        <v>15</v>
      </c>
      <c r="B46" s="72" t="s">
        <v>194</v>
      </c>
      <c r="C46" s="70"/>
      <c r="D46" s="73"/>
      <c r="E46" s="73"/>
      <c r="F46" s="73"/>
      <c r="G46" s="73"/>
      <c r="H46" s="73" t="e">
        <f t="shared" si="4"/>
        <v>#DIV/0!</v>
      </c>
      <c r="I46" s="74"/>
      <c r="J46" s="73" t="e">
        <f t="shared" si="2"/>
        <v>#DIV/0!</v>
      </c>
      <c r="K46" s="73" t="e">
        <f t="shared" si="3"/>
        <v>#DIV/0!</v>
      </c>
    </row>
    <row r="47" spans="1:11" s="75" customFormat="1" ht="31.5" hidden="1">
      <c r="A47" s="70" t="s">
        <v>3</v>
      </c>
      <c r="B47" s="72" t="s">
        <v>195</v>
      </c>
      <c r="C47" s="70" t="s">
        <v>196</v>
      </c>
      <c r="D47" s="73"/>
      <c r="E47" s="73"/>
      <c r="F47" s="73"/>
      <c r="G47" s="73"/>
      <c r="H47" s="73" t="e">
        <f t="shared" si="4"/>
        <v>#DIV/0!</v>
      </c>
      <c r="I47" s="74"/>
      <c r="J47" s="73" t="e">
        <f t="shared" si="2"/>
        <v>#DIV/0!</v>
      </c>
      <c r="K47" s="73" t="e">
        <f t="shared" si="3"/>
        <v>#DIV/0!</v>
      </c>
    </row>
    <row r="48" spans="1:11" s="75" customFormat="1" ht="19.5" customHeight="1" hidden="1">
      <c r="A48" s="70" t="s">
        <v>3</v>
      </c>
      <c r="B48" s="72" t="s">
        <v>197</v>
      </c>
      <c r="C48" s="70" t="s">
        <v>172</v>
      </c>
      <c r="D48" s="73"/>
      <c r="E48" s="73"/>
      <c r="F48" s="73"/>
      <c r="G48" s="73"/>
      <c r="H48" s="73" t="e">
        <f t="shared" si="4"/>
        <v>#DIV/0!</v>
      </c>
      <c r="I48" s="74"/>
      <c r="J48" s="73" t="e">
        <f t="shared" si="2"/>
        <v>#DIV/0!</v>
      </c>
      <c r="K48" s="73" t="e">
        <f t="shared" si="3"/>
        <v>#DIV/0!</v>
      </c>
    </row>
    <row r="49" spans="1:11" s="75" customFormat="1" ht="19.5" customHeight="1" hidden="1">
      <c r="A49" s="70" t="s">
        <v>3</v>
      </c>
      <c r="B49" s="72" t="s">
        <v>198</v>
      </c>
      <c r="C49" s="70" t="s">
        <v>172</v>
      </c>
      <c r="D49" s="73"/>
      <c r="E49" s="73"/>
      <c r="F49" s="73"/>
      <c r="G49" s="73"/>
      <c r="H49" s="73" t="e">
        <f t="shared" si="4"/>
        <v>#DIV/0!</v>
      </c>
      <c r="I49" s="74"/>
      <c r="J49" s="73" t="e">
        <f t="shared" si="2"/>
        <v>#DIV/0!</v>
      </c>
      <c r="K49" s="73" t="e">
        <f t="shared" si="3"/>
        <v>#DIV/0!</v>
      </c>
    </row>
    <row r="50" spans="1:11" s="75" customFormat="1" ht="31.5" hidden="1">
      <c r="A50" s="70">
        <v>16</v>
      </c>
      <c r="B50" s="72" t="s">
        <v>199</v>
      </c>
      <c r="C50" s="70" t="s">
        <v>166</v>
      </c>
      <c r="D50" s="73"/>
      <c r="E50" s="73"/>
      <c r="F50" s="73"/>
      <c r="G50" s="73"/>
      <c r="H50" s="73" t="e">
        <f t="shared" si="4"/>
        <v>#DIV/0!</v>
      </c>
      <c r="I50" s="74"/>
      <c r="J50" s="73" t="e">
        <f t="shared" si="2"/>
        <v>#DIV/0!</v>
      </c>
      <c r="K50" s="73" t="e">
        <f t="shared" si="3"/>
        <v>#DIV/0!</v>
      </c>
    </row>
    <row r="51" spans="1:11" s="75" customFormat="1" ht="19.5" customHeight="1" hidden="1">
      <c r="A51" s="70">
        <v>17</v>
      </c>
      <c r="B51" s="72" t="s">
        <v>200</v>
      </c>
      <c r="C51" s="70" t="s">
        <v>86</v>
      </c>
      <c r="D51" s="73"/>
      <c r="E51" s="73"/>
      <c r="F51" s="73"/>
      <c r="G51" s="73"/>
      <c r="H51" s="73" t="e">
        <f t="shared" si="4"/>
        <v>#DIV/0!</v>
      </c>
      <c r="I51" s="74"/>
      <c r="J51" s="73" t="e">
        <f t="shared" si="2"/>
        <v>#DIV/0!</v>
      </c>
      <c r="K51" s="73" t="e">
        <f t="shared" si="3"/>
        <v>#DIV/0!</v>
      </c>
    </row>
    <row r="52" spans="1:11" s="81" customFormat="1" ht="31.5" hidden="1">
      <c r="A52" s="77"/>
      <c r="B52" s="78" t="s">
        <v>201</v>
      </c>
      <c r="C52" s="77" t="s">
        <v>202</v>
      </c>
      <c r="D52" s="79"/>
      <c r="E52" s="79"/>
      <c r="F52" s="79"/>
      <c r="G52" s="79"/>
      <c r="H52" s="73" t="e">
        <f t="shared" si="4"/>
        <v>#DIV/0!</v>
      </c>
      <c r="I52" s="80"/>
      <c r="J52" s="73" t="e">
        <f t="shared" si="2"/>
        <v>#DIV/0!</v>
      </c>
      <c r="K52" s="73" t="e">
        <f t="shared" si="3"/>
        <v>#DIV/0!</v>
      </c>
    </row>
    <row r="53" spans="1:11" s="75" customFormat="1" ht="19.5" customHeight="1" hidden="1">
      <c r="A53" s="70">
        <v>17</v>
      </c>
      <c r="B53" s="72" t="s">
        <v>203</v>
      </c>
      <c r="C53" s="70" t="s">
        <v>204</v>
      </c>
      <c r="D53" s="73"/>
      <c r="E53" s="73"/>
      <c r="F53" s="73"/>
      <c r="G53" s="73"/>
      <c r="H53" s="73" t="e">
        <f t="shared" si="4"/>
        <v>#DIV/0!</v>
      </c>
      <c r="I53" s="74"/>
      <c r="J53" s="73" t="e">
        <f t="shared" si="2"/>
        <v>#DIV/0!</v>
      </c>
      <c r="K53" s="73" t="e">
        <f t="shared" si="3"/>
        <v>#DIV/0!</v>
      </c>
    </row>
    <row r="54" spans="1:11" s="75" customFormat="1" ht="19.5" customHeight="1" hidden="1">
      <c r="A54" s="70">
        <v>18</v>
      </c>
      <c r="B54" s="72" t="s">
        <v>205</v>
      </c>
      <c r="C54" s="70" t="s">
        <v>206</v>
      </c>
      <c r="D54" s="73"/>
      <c r="E54" s="73"/>
      <c r="F54" s="73"/>
      <c r="G54" s="73"/>
      <c r="H54" s="73" t="e">
        <f t="shared" si="4"/>
        <v>#DIV/0!</v>
      </c>
      <c r="I54" s="74"/>
      <c r="J54" s="73" t="e">
        <f t="shared" si="2"/>
        <v>#DIV/0!</v>
      </c>
      <c r="K54" s="73" t="e">
        <f t="shared" si="3"/>
        <v>#DIV/0!</v>
      </c>
    </row>
    <row r="55" spans="1:11" s="75" customFormat="1" ht="19.5" customHeight="1" hidden="1">
      <c r="A55" s="70">
        <v>19</v>
      </c>
      <c r="B55" s="72" t="s">
        <v>207</v>
      </c>
      <c r="C55" s="70" t="s">
        <v>204</v>
      </c>
      <c r="D55" s="73"/>
      <c r="E55" s="73"/>
      <c r="F55" s="73"/>
      <c r="G55" s="73"/>
      <c r="H55" s="73" t="e">
        <f t="shared" si="4"/>
        <v>#DIV/0!</v>
      </c>
      <c r="I55" s="74"/>
      <c r="J55" s="73" t="e">
        <f t="shared" si="2"/>
        <v>#DIV/0!</v>
      </c>
      <c r="K55" s="73" t="e">
        <f t="shared" si="3"/>
        <v>#DIV/0!</v>
      </c>
    </row>
    <row r="56" spans="1:11" s="75" customFormat="1" ht="31.5" hidden="1">
      <c r="A56" s="70">
        <v>20</v>
      </c>
      <c r="B56" s="72" t="s">
        <v>208</v>
      </c>
      <c r="C56" s="70" t="s">
        <v>160</v>
      </c>
      <c r="D56" s="73"/>
      <c r="E56" s="73"/>
      <c r="F56" s="73"/>
      <c r="G56" s="73"/>
      <c r="H56" s="73" t="e">
        <f t="shared" si="4"/>
        <v>#DIV/0!</v>
      </c>
      <c r="I56" s="74"/>
      <c r="J56" s="73" t="e">
        <f t="shared" si="2"/>
        <v>#DIV/0!</v>
      </c>
      <c r="K56" s="73" t="e">
        <f t="shared" si="3"/>
        <v>#DIV/0!</v>
      </c>
    </row>
    <row r="57" spans="1:11" s="75" customFormat="1" ht="19.5" customHeight="1" hidden="1">
      <c r="A57" s="70">
        <v>21</v>
      </c>
      <c r="B57" s="72" t="s">
        <v>209</v>
      </c>
      <c r="C57" s="70" t="s">
        <v>160</v>
      </c>
      <c r="D57" s="73"/>
      <c r="E57" s="73"/>
      <c r="F57" s="73"/>
      <c r="G57" s="73"/>
      <c r="H57" s="73" t="e">
        <f t="shared" si="4"/>
        <v>#DIV/0!</v>
      </c>
      <c r="I57" s="74"/>
      <c r="J57" s="73" t="e">
        <f t="shared" si="2"/>
        <v>#DIV/0!</v>
      </c>
      <c r="K57" s="73" t="e">
        <f t="shared" si="3"/>
        <v>#DIV/0!</v>
      </c>
    </row>
    <row r="58" spans="1:11" s="75" customFormat="1" ht="31.5" hidden="1">
      <c r="A58" s="70">
        <v>22</v>
      </c>
      <c r="B58" s="72" t="s">
        <v>210</v>
      </c>
      <c r="C58" s="70" t="s">
        <v>160</v>
      </c>
      <c r="D58" s="73"/>
      <c r="E58" s="73"/>
      <c r="F58" s="73"/>
      <c r="G58" s="73"/>
      <c r="H58" s="73" t="e">
        <f t="shared" si="4"/>
        <v>#DIV/0!</v>
      </c>
      <c r="I58" s="74"/>
      <c r="J58" s="73" t="e">
        <f t="shared" si="2"/>
        <v>#DIV/0!</v>
      </c>
      <c r="K58" s="73" t="e">
        <f t="shared" si="3"/>
        <v>#DIV/0!</v>
      </c>
    </row>
    <row r="59" spans="1:11" s="75" customFormat="1" ht="31.5" hidden="1">
      <c r="A59" s="70">
        <v>23</v>
      </c>
      <c r="B59" s="72" t="s">
        <v>211</v>
      </c>
      <c r="C59" s="70" t="s">
        <v>212</v>
      </c>
      <c r="D59" s="73"/>
      <c r="E59" s="73"/>
      <c r="F59" s="73"/>
      <c r="G59" s="73"/>
      <c r="H59" s="73" t="e">
        <f t="shared" si="4"/>
        <v>#DIV/0!</v>
      </c>
      <c r="I59" s="74"/>
      <c r="J59" s="73" t="e">
        <f t="shared" si="2"/>
        <v>#DIV/0!</v>
      </c>
      <c r="K59" s="73" t="e">
        <f t="shared" si="3"/>
        <v>#DIV/0!</v>
      </c>
    </row>
    <row r="60" spans="1:11" s="75" customFormat="1" ht="19.5" customHeight="1" hidden="1">
      <c r="A60" s="70">
        <v>24</v>
      </c>
      <c r="B60" s="72" t="s">
        <v>213</v>
      </c>
      <c r="C60" s="70" t="s">
        <v>160</v>
      </c>
      <c r="D60" s="73"/>
      <c r="E60" s="73"/>
      <c r="F60" s="73"/>
      <c r="G60" s="73"/>
      <c r="H60" s="73" t="e">
        <f t="shared" si="4"/>
        <v>#DIV/0!</v>
      </c>
      <c r="I60" s="74"/>
      <c r="J60" s="73" t="e">
        <f t="shared" si="2"/>
        <v>#DIV/0!</v>
      </c>
      <c r="K60" s="73" t="e">
        <f t="shared" si="3"/>
        <v>#DIV/0!</v>
      </c>
    </row>
    <row r="61" spans="1:11" s="75" customFormat="1" ht="31.5" hidden="1">
      <c r="A61" s="70">
        <v>25</v>
      </c>
      <c r="B61" s="72" t="s">
        <v>214</v>
      </c>
      <c r="C61" s="70" t="s">
        <v>160</v>
      </c>
      <c r="D61" s="73"/>
      <c r="E61" s="73"/>
      <c r="F61" s="73"/>
      <c r="G61" s="73"/>
      <c r="H61" s="73" t="e">
        <f t="shared" si="4"/>
        <v>#DIV/0!</v>
      </c>
      <c r="I61" s="74"/>
      <c r="J61" s="73" t="e">
        <f t="shared" si="2"/>
        <v>#DIV/0!</v>
      </c>
      <c r="K61" s="73" t="e">
        <f t="shared" si="3"/>
        <v>#DIV/0!</v>
      </c>
    </row>
    <row r="62" spans="1:11" s="75" customFormat="1" ht="31.5" hidden="1">
      <c r="A62" s="70">
        <v>26</v>
      </c>
      <c r="B62" s="72" t="s">
        <v>215</v>
      </c>
      <c r="C62" s="70" t="s">
        <v>160</v>
      </c>
      <c r="D62" s="73"/>
      <c r="E62" s="73"/>
      <c r="F62" s="73"/>
      <c r="G62" s="73"/>
      <c r="H62" s="73" t="e">
        <f t="shared" si="4"/>
        <v>#DIV/0!</v>
      </c>
      <c r="I62" s="74"/>
      <c r="J62" s="73" t="e">
        <f t="shared" si="2"/>
        <v>#DIV/0!</v>
      </c>
      <c r="K62" s="73" t="e">
        <f t="shared" si="3"/>
        <v>#DIV/0!</v>
      </c>
    </row>
    <row r="63" spans="1:11" s="75" customFormat="1" ht="31.5" hidden="1">
      <c r="A63" s="70">
        <v>27</v>
      </c>
      <c r="B63" s="72" t="s">
        <v>216</v>
      </c>
      <c r="C63" s="70" t="s">
        <v>160</v>
      </c>
      <c r="D63" s="73"/>
      <c r="E63" s="73"/>
      <c r="F63" s="73"/>
      <c r="G63" s="73"/>
      <c r="H63" s="73" t="e">
        <f t="shared" si="4"/>
        <v>#DIV/0!</v>
      </c>
      <c r="I63" s="74"/>
      <c r="J63" s="73" t="e">
        <f t="shared" si="2"/>
        <v>#DIV/0!</v>
      </c>
      <c r="K63" s="73" t="e">
        <f t="shared" si="3"/>
        <v>#DIV/0!</v>
      </c>
    </row>
    <row r="64" spans="1:11" s="75" customFormat="1" ht="31.5" hidden="1">
      <c r="A64" s="70">
        <v>28</v>
      </c>
      <c r="B64" s="72" t="s">
        <v>217</v>
      </c>
      <c r="C64" s="70" t="s">
        <v>160</v>
      </c>
      <c r="D64" s="73"/>
      <c r="E64" s="73"/>
      <c r="F64" s="73"/>
      <c r="G64" s="73"/>
      <c r="H64" s="73" t="e">
        <f t="shared" si="4"/>
        <v>#DIV/0!</v>
      </c>
      <c r="I64" s="74"/>
      <c r="J64" s="73" t="e">
        <f t="shared" si="2"/>
        <v>#DIV/0!</v>
      </c>
      <c r="K64" s="73" t="e">
        <f t="shared" si="3"/>
        <v>#DIV/0!</v>
      </c>
    </row>
    <row r="65" spans="1:11" s="75" customFormat="1" ht="19.5" customHeight="1">
      <c r="A65" s="70">
        <v>3</v>
      </c>
      <c r="B65" s="72" t="s">
        <v>218</v>
      </c>
      <c r="C65" s="70" t="s">
        <v>160</v>
      </c>
      <c r="D65" s="73">
        <v>85.67</v>
      </c>
      <c r="E65" s="73">
        <v>85.67</v>
      </c>
      <c r="F65" s="73">
        <v>85.67</v>
      </c>
      <c r="G65" s="73">
        <v>85.67</v>
      </c>
      <c r="H65" s="73">
        <f t="shared" si="4"/>
        <v>100</v>
      </c>
      <c r="I65" s="74">
        <v>85.67</v>
      </c>
      <c r="J65" s="73">
        <f t="shared" si="2"/>
        <v>100</v>
      </c>
      <c r="K65" s="73">
        <f t="shared" si="3"/>
        <v>100</v>
      </c>
    </row>
    <row r="66" spans="1:11" s="75" customFormat="1" ht="47.25" hidden="1">
      <c r="A66" s="70">
        <v>30</v>
      </c>
      <c r="B66" s="72" t="s">
        <v>219</v>
      </c>
      <c r="C66" s="70" t="s">
        <v>160</v>
      </c>
      <c r="D66" s="73"/>
      <c r="E66" s="73"/>
      <c r="F66" s="73"/>
      <c r="G66" s="73"/>
      <c r="H66" s="73"/>
      <c r="I66" s="74"/>
      <c r="J66" s="73" t="e">
        <f t="shared" si="2"/>
        <v>#DIV/0!</v>
      </c>
      <c r="K66" s="73"/>
    </row>
    <row r="67" spans="1:11" s="75" customFormat="1" ht="19.5" customHeight="1">
      <c r="A67" s="70">
        <v>4</v>
      </c>
      <c r="B67" s="72" t="s">
        <v>220</v>
      </c>
      <c r="C67" s="70" t="s">
        <v>221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4">
        <v>1</v>
      </c>
      <c r="J67" s="73">
        <v>0</v>
      </c>
      <c r="K67" s="73">
        <v>0</v>
      </c>
    </row>
    <row r="68" spans="1:11" s="75" customFormat="1" ht="19.5" customHeight="1">
      <c r="A68" s="70">
        <v>5</v>
      </c>
      <c r="B68" s="72" t="s">
        <v>222</v>
      </c>
      <c r="C68" s="70" t="s">
        <v>160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4">
        <f>1/3*100</f>
        <v>33.33333333333333</v>
      </c>
      <c r="J68" s="73">
        <v>0</v>
      </c>
      <c r="K68" s="73">
        <v>0</v>
      </c>
    </row>
    <row r="69" spans="1:11" s="75" customFormat="1" ht="31.5">
      <c r="A69" s="70">
        <v>6</v>
      </c>
      <c r="B69" s="72" t="s">
        <v>223</v>
      </c>
      <c r="C69" s="70" t="s">
        <v>160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4">
        <v>0</v>
      </c>
      <c r="J69" s="73">
        <v>0</v>
      </c>
      <c r="K69" s="73">
        <v>0</v>
      </c>
    </row>
    <row r="70" spans="1:11" s="75" customFormat="1" ht="19.5" customHeight="1" hidden="1">
      <c r="A70" s="70">
        <v>34</v>
      </c>
      <c r="B70" s="72" t="s">
        <v>224</v>
      </c>
      <c r="C70" s="70"/>
      <c r="D70" s="73"/>
      <c r="E70" s="73"/>
      <c r="F70" s="73"/>
      <c r="G70" s="73"/>
      <c r="H70" s="73"/>
      <c r="I70" s="74"/>
      <c r="J70" s="73"/>
      <c r="K70" s="73"/>
    </row>
    <row r="71" spans="1:11" s="75" customFormat="1" ht="19.5" customHeight="1" hidden="1">
      <c r="A71" s="70" t="s">
        <v>3</v>
      </c>
      <c r="B71" s="72" t="s">
        <v>225</v>
      </c>
      <c r="C71" s="70" t="s">
        <v>160</v>
      </c>
      <c r="D71" s="73"/>
      <c r="E71" s="73"/>
      <c r="F71" s="73"/>
      <c r="G71" s="73"/>
      <c r="H71" s="73"/>
      <c r="I71" s="74"/>
      <c r="J71" s="73"/>
      <c r="K71" s="73"/>
    </row>
    <row r="72" spans="1:11" s="75" customFormat="1" ht="31.5" hidden="1">
      <c r="A72" s="70" t="s">
        <v>3</v>
      </c>
      <c r="B72" s="72" t="s">
        <v>226</v>
      </c>
      <c r="C72" s="70" t="s">
        <v>227</v>
      </c>
      <c r="D72" s="73"/>
      <c r="E72" s="73"/>
      <c r="F72" s="73"/>
      <c r="G72" s="73"/>
      <c r="H72" s="73"/>
      <c r="I72" s="74"/>
      <c r="J72" s="73"/>
      <c r="K72" s="73"/>
    </row>
  </sheetData>
  <sheetProtection/>
  <mergeCells count="8">
    <mergeCell ref="A1:K1"/>
    <mergeCell ref="A2:K2"/>
    <mergeCell ref="A4:A5"/>
    <mergeCell ref="B4:B5"/>
    <mergeCell ref="C4:C5"/>
    <mergeCell ref="D4:D5"/>
    <mergeCell ref="E4:H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3.7109375" style="0" bestFit="1" customWidth="1"/>
    <col min="2" max="2" width="38.8515625" style="0" bestFit="1" customWidth="1"/>
    <col min="4" max="4" width="11.57421875" style="0" bestFit="1" customWidth="1"/>
    <col min="9" max="9" width="14.28125" style="0" bestFit="1" customWidth="1"/>
  </cols>
  <sheetData>
    <row r="1" spans="1:10" ht="17.25">
      <c r="A1" s="196" t="s">
        <v>270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6.5">
      <c r="A2" s="136" t="s">
        <v>229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.75">
      <c r="A3" s="66"/>
      <c r="C3" s="66"/>
      <c r="D3" s="82"/>
      <c r="E3" s="66"/>
      <c r="F3" s="66"/>
      <c r="G3" s="66"/>
      <c r="H3" s="83"/>
      <c r="I3" s="66"/>
      <c r="J3" s="83"/>
    </row>
    <row r="4" spans="1:10" ht="14.25">
      <c r="A4" s="128" t="s">
        <v>145</v>
      </c>
      <c r="B4" s="128" t="s">
        <v>65</v>
      </c>
      <c r="C4" s="128" t="s">
        <v>146</v>
      </c>
      <c r="D4" s="128" t="s">
        <v>147</v>
      </c>
      <c r="E4" s="128" t="s">
        <v>131</v>
      </c>
      <c r="F4" s="128"/>
      <c r="G4" s="128"/>
      <c r="H4" s="128"/>
      <c r="I4" s="128" t="s">
        <v>153</v>
      </c>
      <c r="J4" s="129" t="s">
        <v>155</v>
      </c>
    </row>
    <row r="5" spans="1:10" ht="114">
      <c r="A5" s="128"/>
      <c r="B5" s="128"/>
      <c r="C5" s="128"/>
      <c r="D5" s="128"/>
      <c r="E5" s="118" t="s">
        <v>149</v>
      </c>
      <c r="F5" s="118" t="s">
        <v>150</v>
      </c>
      <c r="G5" s="118" t="s">
        <v>151</v>
      </c>
      <c r="H5" s="115" t="s">
        <v>152</v>
      </c>
      <c r="I5" s="128"/>
      <c r="J5" s="129"/>
    </row>
    <row r="6" spans="1:10" ht="15.7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69" t="s">
        <v>156</v>
      </c>
      <c r="I6" s="70">
        <v>9</v>
      </c>
      <c r="J6" s="69" t="s">
        <v>230</v>
      </c>
    </row>
    <row r="7" spans="1:10" s="90" customFormat="1" ht="15.75">
      <c r="A7" s="87" t="s">
        <v>1</v>
      </c>
      <c r="B7" s="101" t="s">
        <v>231</v>
      </c>
      <c r="C7" s="86"/>
      <c r="D7" s="86"/>
      <c r="E7" s="86"/>
      <c r="F7" s="86"/>
      <c r="G7" s="86"/>
      <c r="H7" s="89"/>
      <c r="I7" s="86"/>
      <c r="J7" s="89"/>
    </row>
    <row r="8" spans="1:10" s="90" customFormat="1" ht="31.5">
      <c r="A8" s="87">
        <v>1</v>
      </c>
      <c r="B8" s="88" t="s">
        <v>232</v>
      </c>
      <c r="C8" s="86"/>
      <c r="D8" s="86"/>
      <c r="E8" s="86"/>
      <c r="F8" s="86"/>
      <c r="G8" s="86"/>
      <c r="H8" s="89"/>
      <c r="I8" s="86"/>
      <c r="J8" s="89"/>
    </row>
    <row r="9" spans="1:10" s="90" customFormat="1" ht="15.75">
      <c r="A9" s="84" t="s">
        <v>233</v>
      </c>
      <c r="B9" s="85" t="s">
        <v>234</v>
      </c>
      <c r="C9" s="84" t="s">
        <v>0</v>
      </c>
      <c r="D9" s="91">
        <f>D10+D13</f>
        <v>231.09999999999997</v>
      </c>
      <c r="E9" s="91">
        <f>E10+E13</f>
        <v>355.3</v>
      </c>
      <c r="F9" s="91">
        <f>F10+F13</f>
        <v>132.8</v>
      </c>
      <c r="G9" s="91">
        <f>G10+G13</f>
        <v>224.8</v>
      </c>
      <c r="H9" s="89">
        <f aca="true" t="shared" si="0" ref="H9:H21">G9/D9*100</f>
        <v>97.27390739939422</v>
      </c>
      <c r="I9" s="91">
        <f>'[1]B1'!$N$15</f>
        <v>355.3</v>
      </c>
      <c r="J9" s="89">
        <f>I9/G9*100</f>
        <v>158.05160142348754</v>
      </c>
    </row>
    <row r="10" spans="1:10" s="90" customFormat="1" ht="15.75">
      <c r="A10" s="84" t="s">
        <v>3</v>
      </c>
      <c r="B10" s="85" t="s">
        <v>235</v>
      </c>
      <c r="C10" s="84" t="s">
        <v>0</v>
      </c>
      <c r="D10" s="91">
        <f>'B04'!H19</f>
        <v>169.89999999999998</v>
      </c>
      <c r="E10" s="89">
        <f>'B04'!I19</f>
        <v>285</v>
      </c>
      <c r="F10" s="89">
        <f>'B04'!J19</f>
        <v>125.8</v>
      </c>
      <c r="G10" s="89">
        <f>'B04'!K19</f>
        <v>194.8</v>
      </c>
      <c r="H10" s="89">
        <f t="shared" si="0"/>
        <v>114.65567981165394</v>
      </c>
      <c r="I10" s="89">
        <f>'B04'!N19</f>
        <v>285</v>
      </c>
      <c r="J10" s="89">
        <f>I10/G10*100</f>
        <v>146.30390143737168</v>
      </c>
    </row>
    <row r="11" spans="1:10" s="90" customFormat="1" ht="15.75">
      <c r="A11" s="84"/>
      <c r="B11" s="85" t="s">
        <v>236</v>
      </c>
      <c r="C11" s="84" t="s">
        <v>237</v>
      </c>
      <c r="D11" s="91">
        <f>D12*10000000/D10</f>
        <v>31.018540317834024</v>
      </c>
      <c r="E11" s="91">
        <f>E12*10000000/E10</f>
        <v>31.859649122807017</v>
      </c>
      <c r="F11" s="91">
        <f>F12*10000000/F10</f>
        <v>9.12670906200318</v>
      </c>
      <c r="G11" s="91">
        <f>G12*10000000/G10</f>
        <v>31.381416837782346</v>
      </c>
      <c r="H11" s="89">
        <f>G11/D11*100</f>
        <v>101.16986974960807</v>
      </c>
      <c r="I11" s="91">
        <f>I12*10000000/I10</f>
        <v>35.05263157894738</v>
      </c>
      <c r="J11" s="89">
        <f aca="true" t="shared" si="1" ref="J11:J39">I11/G11*100</f>
        <v>111.69869021574893</v>
      </c>
    </row>
    <row r="12" spans="1:10" s="90" customFormat="1" ht="15.75">
      <c r="A12" s="84"/>
      <c r="B12" s="85" t="s">
        <v>238</v>
      </c>
      <c r="C12" s="84" t="s">
        <v>239</v>
      </c>
      <c r="D12" s="92">
        <f>('B04'!H23+'B04'!H26+'B04'!H29)/1000000</f>
        <v>0.000527005</v>
      </c>
      <c r="E12" s="92">
        <f>('B04'!I23+'B04'!I26+'B04'!I29)/1000000</f>
        <v>0.000908</v>
      </c>
      <c r="F12" s="93">
        <f>('B04'!J23+'B04'!J26+'B04'!J29)/1000000</f>
        <v>0.00011481399999999999</v>
      </c>
      <c r="G12" s="93">
        <f>('B04'!K23+'B04'!K26+'B04'!K29)/1000000</f>
        <v>0.0006113100000000001</v>
      </c>
      <c r="H12" s="89">
        <f t="shared" si="0"/>
        <v>115.99700192597795</v>
      </c>
      <c r="I12" s="92">
        <f>('B04'!N23+'B04'!N26+'B04'!N29)/1000000</f>
        <v>0.000999</v>
      </c>
      <c r="J12" s="89">
        <f t="shared" si="1"/>
        <v>163.4195416400844</v>
      </c>
    </row>
    <row r="13" spans="1:10" s="90" customFormat="1" ht="15.75">
      <c r="A13" s="84" t="s">
        <v>3</v>
      </c>
      <c r="B13" s="85" t="s">
        <v>240</v>
      </c>
      <c r="C13" s="84" t="s">
        <v>0</v>
      </c>
      <c r="D13" s="91">
        <f>'[2]B1'!$H$29</f>
        <v>61.2</v>
      </c>
      <c r="E13" s="89">
        <f>'[2]B1'!$I$29</f>
        <v>70.3</v>
      </c>
      <c r="F13" s="89">
        <f>'[2]B1'!$J$29</f>
        <v>7</v>
      </c>
      <c r="G13" s="89">
        <f>'[2]B1'!$K$29</f>
        <v>30</v>
      </c>
      <c r="H13" s="89">
        <f t="shared" si="0"/>
        <v>49.01960784313725</v>
      </c>
      <c r="I13" s="89">
        <f>'[2]B1'!$M$29</f>
        <v>35</v>
      </c>
      <c r="J13" s="89">
        <f t="shared" si="1"/>
        <v>116.66666666666667</v>
      </c>
    </row>
    <row r="14" spans="1:10" s="90" customFormat="1" ht="15.75">
      <c r="A14" s="84"/>
      <c r="B14" s="85" t="s">
        <v>236</v>
      </c>
      <c r="C14" s="84" t="s">
        <v>237</v>
      </c>
      <c r="D14" s="91">
        <f>D15*10000000/D13</f>
        <v>55</v>
      </c>
      <c r="E14" s="91">
        <f>E15*10000000/E13</f>
        <v>58.77</v>
      </c>
      <c r="F14" s="91">
        <f>F15*10000000/F13</f>
        <v>0</v>
      </c>
      <c r="G14" s="91">
        <f>G15*10000000/G13</f>
        <v>55</v>
      </c>
      <c r="H14" s="89">
        <f t="shared" si="0"/>
        <v>100</v>
      </c>
      <c r="I14" s="91">
        <f>I15*10000000/I13</f>
        <v>118.04374285714286</v>
      </c>
      <c r="J14" s="89">
        <f t="shared" si="1"/>
        <v>214.624987012987</v>
      </c>
    </row>
    <row r="15" spans="1:10" s="90" customFormat="1" ht="15.75">
      <c r="A15" s="84"/>
      <c r="B15" s="85" t="s">
        <v>238</v>
      </c>
      <c r="C15" s="84" t="s">
        <v>239</v>
      </c>
      <c r="D15" s="92">
        <f>'B04'!H32/1000000</f>
        <v>0.0003366</v>
      </c>
      <c r="E15" s="93">
        <f>'B04'!I32/1000000</f>
        <v>0.0004131531</v>
      </c>
      <c r="F15" s="93">
        <f>'B04'!J32</f>
        <v>0</v>
      </c>
      <c r="G15" s="93">
        <f>'B04'!K32/1000000</f>
        <v>0.000165</v>
      </c>
      <c r="H15" s="89">
        <f t="shared" si="0"/>
        <v>49.01960784313725</v>
      </c>
      <c r="I15" s="93">
        <f>'B04'!N32/1000000</f>
        <v>0.0004131531</v>
      </c>
      <c r="J15" s="89">
        <f t="shared" si="1"/>
        <v>250.39581818181819</v>
      </c>
    </row>
    <row r="16" spans="1:10" s="90" customFormat="1" ht="31.5">
      <c r="A16" s="84" t="s">
        <v>241</v>
      </c>
      <c r="B16" s="85" t="s">
        <v>242</v>
      </c>
      <c r="C16" s="84"/>
      <c r="D16" s="84"/>
      <c r="E16" s="86"/>
      <c r="F16" s="86"/>
      <c r="G16" s="86"/>
      <c r="H16" s="89"/>
      <c r="I16" s="86"/>
      <c r="J16" s="89"/>
    </row>
    <row r="17" spans="1:10" s="90" customFormat="1" ht="15.75">
      <c r="A17" s="84"/>
      <c r="B17" s="85" t="s">
        <v>243</v>
      </c>
      <c r="C17" s="84" t="s">
        <v>0</v>
      </c>
      <c r="D17" s="84">
        <f>'B04'!H34+'B04'!H43+'B04'!H124+'B04'!H135</f>
        <v>1606.7</v>
      </c>
      <c r="E17" s="86">
        <f>'B04'!I34+'B04'!I43+'B04'!I124+'B04'!I135</f>
        <v>2370</v>
      </c>
      <c r="F17" s="102">
        <f>'B04'!J34+'B04'!J43+'B04'!J124+'B04'!J134</f>
        <v>1142.7</v>
      </c>
      <c r="G17" s="102">
        <f>'B04'!K34+'B04'!K43+'B04'!K124+'B04'!K134</f>
        <v>1510.7938124</v>
      </c>
      <c r="H17" s="89">
        <f t="shared" si="0"/>
        <v>94.03085905271674</v>
      </c>
      <c r="I17" s="86">
        <f>'B04'!N34+'B04'!N43+'B04'!N124+'B04'!N135</f>
        <v>2395.5</v>
      </c>
      <c r="J17" s="89">
        <f>I17/G17*100</f>
        <v>158.55902905735252</v>
      </c>
    </row>
    <row r="18" spans="1:10" s="90" customFormat="1" ht="15.75">
      <c r="A18" s="84"/>
      <c r="B18" s="85" t="s">
        <v>244</v>
      </c>
      <c r="C18" s="84" t="s">
        <v>239</v>
      </c>
      <c r="D18" s="93">
        <f>('B04'!H38+'B04'!H42+'B04'!H46+'B04'!H49+'B04'!H52+'B04'!H133+'B04'!H137)/1000000</f>
        <v>0.0288537</v>
      </c>
      <c r="E18" s="93">
        <f>('B04'!I38+'B04'!I42+'B04'!I46+'B04'!I49+'B04'!I52+'B04'!I133+'B04'!I137)/1000000</f>
        <v>0.0400235</v>
      </c>
      <c r="F18" s="93">
        <f>('B04'!J38+'B04'!J42+'B04'!J46+'B04'!J49+'B04'!J52+'B04'!J133+'B04'!J137)/1000000</f>
        <v>6.595E-05</v>
      </c>
      <c r="G18" s="93">
        <f>('B04'!K38+'B04'!K42+'B04'!K46+'B04'!K49+'B04'!K52+'B04'!K133+'B04'!K137)/1000000</f>
        <v>0.0265731</v>
      </c>
      <c r="H18" s="89">
        <f t="shared" si="0"/>
        <v>92.0959876896204</v>
      </c>
      <c r="I18" s="93">
        <f>('B04'!N38+'B04'!N42+'B04'!N46+'B04'!N49+'B04'!N52+'B04'!N133+'B04'!N137)/1000000</f>
        <v>0.04297545</v>
      </c>
      <c r="J18" s="89">
        <f>I18/G18*100</f>
        <v>161.72539146731094</v>
      </c>
    </row>
    <row r="19" spans="1:10" s="90" customFormat="1" ht="31.5">
      <c r="A19" s="84" t="s">
        <v>245</v>
      </c>
      <c r="B19" s="85" t="s">
        <v>246</v>
      </c>
      <c r="C19" s="86"/>
      <c r="D19" s="86"/>
      <c r="E19" s="86"/>
      <c r="F19" s="86"/>
      <c r="G19" s="86"/>
      <c r="H19" s="89"/>
      <c r="I19" s="86"/>
      <c r="J19" s="89"/>
    </row>
    <row r="20" spans="1:17" s="90" customFormat="1" ht="15.75">
      <c r="A20" s="84"/>
      <c r="B20" s="85" t="s">
        <v>243</v>
      </c>
      <c r="C20" s="86" t="s">
        <v>39</v>
      </c>
      <c r="D20" s="86">
        <f>'B04'!H53+'B04'!H63</f>
        <v>25710.240000000005</v>
      </c>
      <c r="E20" s="86">
        <f>'B04'!I53+'B04'!I63</f>
        <v>25954.2</v>
      </c>
      <c r="F20" s="86">
        <f>'B04'!J53+'B04'!J63</f>
        <v>25700.800000000003</v>
      </c>
      <c r="G20" s="86">
        <f>'B04'!K53+'B04'!K63</f>
        <v>25817.030000000002</v>
      </c>
      <c r="H20" s="89">
        <f t="shared" si="0"/>
        <v>100.41535979438541</v>
      </c>
      <c r="I20" s="86">
        <f>'B04'!N53+'B04'!N63</f>
        <v>25996.030000000002</v>
      </c>
      <c r="J20" s="89">
        <f t="shared" si="1"/>
        <v>100.69334079094303</v>
      </c>
      <c r="K20" s="103"/>
      <c r="L20" s="103"/>
      <c r="M20" s="103"/>
      <c r="N20" s="103"/>
      <c r="O20" s="103"/>
      <c r="P20" s="103"/>
      <c r="Q20" s="103"/>
    </row>
    <row r="21" spans="1:10" s="90" customFormat="1" ht="15.75">
      <c r="A21" s="84"/>
      <c r="B21" s="85" t="s">
        <v>247</v>
      </c>
      <c r="C21" s="84" t="s">
        <v>239</v>
      </c>
      <c r="D21" s="92">
        <f>('B04'!H56+'B04'!H59+'B04'!H73+'B04'!H86+'B04'!H99+'B04'!H110)/1000000</f>
        <v>0.048038183000000005</v>
      </c>
      <c r="E21" s="86">
        <f>('B04'!I56+'B04'!I59+'B04'!I73+'B04'!I86+'B04'!I99+'B04'!I110)/1000000</f>
        <v>0.07245576</v>
      </c>
      <c r="F21" s="93">
        <f>('B04'!J56+'B04'!J59+'B04'!J73+'B04'!J86+'B04'!J99+'B04'!J110)/1000000</f>
        <v>0.016610299999999998</v>
      </c>
      <c r="G21" s="93">
        <f>('B04'!K56+'B04'!K59+'B04'!K73+'B04'!K86+'B04'!K99+'B04'!K110)/1000000</f>
        <v>0.0519026</v>
      </c>
      <c r="H21" s="89">
        <f t="shared" si="0"/>
        <v>108.04446954207239</v>
      </c>
      <c r="I21" s="94">
        <f>('B04'!N56+'B04'!N59+'B04'!N86+'B04'!N99+'B04'!N110)/1000000</f>
        <v>0.07837049999999998</v>
      </c>
      <c r="J21" s="89">
        <f t="shared" si="1"/>
        <v>150.99532586036148</v>
      </c>
    </row>
    <row r="22" spans="1:10" s="90" customFormat="1" ht="31.5">
      <c r="A22" s="87">
        <v>2</v>
      </c>
      <c r="B22" s="88" t="s">
        <v>248</v>
      </c>
      <c r="C22" s="86"/>
      <c r="D22" s="86"/>
      <c r="E22" s="86"/>
      <c r="F22" s="86"/>
      <c r="G22" s="86"/>
      <c r="H22" s="89"/>
      <c r="I22" s="86"/>
      <c r="J22" s="89"/>
    </row>
    <row r="23" spans="1:10" s="90" customFormat="1" ht="15.75">
      <c r="A23" s="87" t="s">
        <v>3</v>
      </c>
      <c r="B23" s="88" t="s">
        <v>249</v>
      </c>
      <c r="C23" s="95" t="s">
        <v>27</v>
      </c>
      <c r="D23" s="96">
        <f>SUM(D24:D27)</f>
        <v>3220</v>
      </c>
      <c r="E23" s="96">
        <f>SUM(E24:E27)</f>
        <v>7370</v>
      </c>
      <c r="F23" s="96">
        <f>SUM(F24:F27)</f>
        <v>3070</v>
      </c>
      <c r="G23" s="96">
        <f>SUM(G24:G27)</f>
        <v>3625</v>
      </c>
      <c r="H23" s="97">
        <f>G23/D23*100</f>
        <v>112.5776397515528</v>
      </c>
      <c r="I23" s="96">
        <f>SUM(I24:I27)</f>
        <v>7370</v>
      </c>
      <c r="J23" s="97">
        <f>I23/G23*100</f>
        <v>203.3103448275862</v>
      </c>
    </row>
    <row r="24" spans="1:10" s="90" customFormat="1" ht="15.75">
      <c r="A24" s="84"/>
      <c r="B24" s="85" t="s">
        <v>21</v>
      </c>
      <c r="C24" s="86" t="s">
        <v>27</v>
      </c>
      <c r="D24" s="86">
        <f>'B04'!H156</f>
        <v>31</v>
      </c>
      <c r="E24" s="86">
        <f>'B04'!I156</f>
        <v>120</v>
      </c>
      <c r="F24" s="86">
        <f>'B04'!J156</f>
        <v>19</v>
      </c>
      <c r="G24" s="86">
        <f>'B04'!K156</f>
        <v>25</v>
      </c>
      <c r="H24" s="89">
        <f aca="true" t="shared" si="2" ref="H24:H38">G24/D24*100</f>
        <v>80.64516129032258</v>
      </c>
      <c r="I24" s="86">
        <f>'B04'!N156</f>
        <v>120</v>
      </c>
      <c r="J24" s="89">
        <f>I24/G24*100</f>
        <v>480</v>
      </c>
    </row>
    <row r="25" spans="1:10" s="90" customFormat="1" ht="15.75">
      <c r="A25" s="84"/>
      <c r="B25" s="85" t="s">
        <v>22</v>
      </c>
      <c r="C25" s="86" t="s">
        <v>27</v>
      </c>
      <c r="D25" s="86">
        <f>'B04'!H159</f>
        <v>1726</v>
      </c>
      <c r="E25" s="86">
        <f>'B04'!I159</f>
        <v>3050</v>
      </c>
      <c r="F25" s="86">
        <f>'B04'!J159</f>
        <v>1654</v>
      </c>
      <c r="G25" s="86">
        <f>'B04'!K159</f>
        <v>2000</v>
      </c>
      <c r="H25" s="89">
        <f t="shared" si="2"/>
        <v>115.87485515643105</v>
      </c>
      <c r="I25" s="86">
        <f>'B04'!N159</f>
        <v>3050</v>
      </c>
      <c r="J25" s="89">
        <f t="shared" si="1"/>
        <v>152.5</v>
      </c>
    </row>
    <row r="26" spans="1:10" s="90" customFormat="1" ht="15.75">
      <c r="A26" s="84"/>
      <c r="B26" s="85" t="s">
        <v>23</v>
      </c>
      <c r="C26" s="86" t="s">
        <v>27</v>
      </c>
      <c r="D26" s="86">
        <f>'B04'!H162</f>
        <v>638</v>
      </c>
      <c r="E26" s="86">
        <f>'B04'!I162</f>
        <v>2500</v>
      </c>
      <c r="F26" s="86">
        <f>'B04'!J162</f>
        <v>751</v>
      </c>
      <c r="G26" s="86">
        <f>'B04'!K162</f>
        <v>800</v>
      </c>
      <c r="H26" s="89">
        <f t="shared" si="2"/>
        <v>125.39184952978057</v>
      </c>
      <c r="I26" s="86">
        <f>'B04'!N162</f>
        <v>2500</v>
      </c>
      <c r="J26" s="89">
        <f t="shared" si="1"/>
        <v>312.5</v>
      </c>
    </row>
    <row r="27" spans="1:10" s="90" customFormat="1" ht="15.75">
      <c r="A27" s="84"/>
      <c r="B27" s="85" t="s">
        <v>108</v>
      </c>
      <c r="C27" s="86" t="s">
        <v>27</v>
      </c>
      <c r="D27" s="86">
        <f>'B04'!H165</f>
        <v>825</v>
      </c>
      <c r="E27" s="86">
        <f>'B04'!I165</f>
        <v>1700</v>
      </c>
      <c r="F27" s="86">
        <f>'B04'!J165</f>
        <v>646</v>
      </c>
      <c r="G27" s="86">
        <f>'B04'!K162</f>
        <v>800</v>
      </c>
      <c r="H27" s="89">
        <f t="shared" si="2"/>
        <v>96.96969696969697</v>
      </c>
      <c r="I27" s="86">
        <f>'B04'!N165</f>
        <v>1700</v>
      </c>
      <c r="J27" s="89">
        <f t="shared" si="1"/>
        <v>212.5</v>
      </c>
    </row>
    <row r="28" spans="1:10" s="90" customFormat="1" ht="15.75">
      <c r="A28" s="84"/>
      <c r="B28" s="85" t="s">
        <v>250</v>
      </c>
      <c r="C28" s="86" t="s">
        <v>27</v>
      </c>
      <c r="D28" s="98">
        <f>'[2]B1'!$H$167</f>
        <v>33842</v>
      </c>
      <c r="E28" s="98">
        <f>'[2]B1'!$I$167</f>
        <v>35000</v>
      </c>
      <c r="F28" s="98">
        <f>'[2]B1'!$J$167</f>
        <v>33158</v>
      </c>
      <c r="G28" s="98">
        <f>'[2]B1'!$K$167</f>
        <v>35000</v>
      </c>
      <c r="H28" s="89">
        <f t="shared" si="2"/>
        <v>103.42178358253058</v>
      </c>
      <c r="I28" s="98">
        <f>'[1]B1'!$N$167</f>
        <v>35000</v>
      </c>
      <c r="J28" s="89">
        <f t="shared" si="1"/>
        <v>100</v>
      </c>
    </row>
    <row r="29" spans="1:10" s="90" customFormat="1" ht="15.75">
      <c r="A29" s="84" t="s">
        <v>3</v>
      </c>
      <c r="B29" s="85" t="s">
        <v>251</v>
      </c>
      <c r="C29" s="84" t="s">
        <v>252</v>
      </c>
      <c r="D29" s="89">
        <f>('B04'!H157+'B04'!H160+'B04'!H163+'B04'!H166+'B04'!H169)/1000</f>
        <v>0.29471299999999995</v>
      </c>
      <c r="E29" s="89">
        <f>('B04'!I157+'B04'!I160+'B04'!I163+'B04'!I166+'B04'!I169)/1000</f>
        <v>0.65575</v>
      </c>
      <c r="F29" s="93">
        <f>('B04'!J157+'B04'!J160+'B04'!J163+'B04'!J166+'B04'!J169)/1000</f>
        <v>0.16351949999999998</v>
      </c>
      <c r="G29" s="89">
        <f>('B04'!K157+'B04'!K160+'B04'!K163+'B04'!K166+'B04'!K169)/1000</f>
        <v>0.307375</v>
      </c>
      <c r="H29" s="89">
        <f t="shared" si="2"/>
        <v>104.2963832610031</v>
      </c>
      <c r="I29" s="89">
        <f>('B04'!N157+'B04'!N160+'B04'!N163+'B04'!N166+'B04'!N169)/1000</f>
        <v>0.65575</v>
      </c>
      <c r="J29" s="89">
        <f t="shared" si="1"/>
        <v>213.33875559170394</v>
      </c>
    </row>
    <row r="30" spans="1:10" s="90" customFormat="1" ht="15.75">
      <c r="A30" s="86"/>
      <c r="B30" s="99" t="s">
        <v>253</v>
      </c>
      <c r="C30" s="100" t="s">
        <v>252</v>
      </c>
      <c r="D30" s="89">
        <f>'B04'!H169/1000</f>
        <v>0.050762999999999996</v>
      </c>
      <c r="E30" s="89">
        <f>'B04'!I169/1000</f>
        <v>0.0525</v>
      </c>
      <c r="F30" s="89">
        <f>'B04'!J169/1000</f>
        <v>0.049737</v>
      </c>
      <c r="G30" s="89">
        <f>'B04'!K169/1000</f>
        <v>0.0525</v>
      </c>
      <c r="H30" s="89">
        <f t="shared" si="2"/>
        <v>103.42178358253058</v>
      </c>
      <c r="I30" s="89">
        <f>'B04'!N169/1000</f>
        <v>0.0525</v>
      </c>
      <c r="J30" s="89">
        <f t="shared" si="1"/>
        <v>100</v>
      </c>
    </row>
    <row r="31" spans="1:10" s="90" customFormat="1" ht="15.75">
      <c r="A31" s="87">
        <v>3</v>
      </c>
      <c r="B31" s="88" t="s">
        <v>38</v>
      </c>
      <c r="C31" s="86"/>
      <c r="D31" s="86"/>
      <c r="E31" s="86"/>
      <c r="F31" s="86"/>
      <c r="G31" s="86"/>
      <c r="H31" s="89"/>
      <c r="I31" s="86"/>
      <c r="J31" s="89"/>
    </row>
    <row r="32" spans="1:10" s="90" customFormat="1" ht="15.75">
      <c r="A32" s="84" t="s">
        <v>3</v>
      </c>
      <c r="B32" s="85" t="s">
        <v>254</v>
      </c>
      <c r="C32" s="84" t="s">
        <v>255</v>
      </c>
      <c r="D32" s="86"/>
      <c r="E32" s="86"/>
      <c r="F32" s="86"/>
      <c r="G32" s="86"/>
      <c r="H32" s="89"/>
      <c r="I32" s="86"/>
      <c r="J32" s="89"/>
    </row>
    <row r="33" spans="1:10" s="90" customFormat="1" ht="15.75">
      <c r="A33" s="84" t="s">
        <v>3</v>
      </c>
      <c r="B33" s="85" t="s">
        <v>256</v>
      </c>
      <c r="C33" s="84" t="s">
        <v>160</v>
      </c>
      <c r="D33" s="86">
        <v>85.67</v>
      </c>
      <c r="E33" s="86">
        <v>85.67</v>
      </c>
      <c r="F33" s="86">
        <v>85.67</v>
      </c>
      <c r="G33" s="86">
        <v>85.67</v>
      </c>
      <c r="H33" s="89">
        <f t="shared" si="2"/>
        <v>100</v>
      </c>
      <c r="I33" s="86">
        <v>85.67</v>
      </c>
      <c r="J33" s="89">
        <f t="shared" si="1"/>
        <v>100</v>
      </c>
    </row>
    <row r="34" spans="1:10" s="90" customFormat="1" ht="15.75">
      <c r="A34" s="87">
        <v>4</v>
      </c>
      <c r="B34" s="88" t="s">
        <v>24</v>
      </c>
      <c r="C34" s="84" t="s">
        <v>252</v>
      </c>
      <c r="D34" s="86">
        <f>D35+D36</f>
        <v>0.15527000000000002</v>
      </c>
      <c r="E34" s="86">
        <f>E35+E36</f>
        <v>0.28825</v>
      </c>
      <c r="F34" s="86">
        <f>F35+F36</f>
        <v>0.052724999999999994</v>
      </c>
      <c r="G34" s="86">
        <f>G35+G36</f>
        <v>0.24575000000000002</v>
      </c>
      <c r="H34" s="89">
        <f t="shared" si="2"/>
        <v>158.27268628840085</v>
      </c>
      <c r="I34" s="86">
        <f>I35+I36</f>
        <v>0.30675</v>
      </c>
      <c r="J34" s="89">
        <f t="shared" si="1"/>
        <v>124.82197355035605</v>
      </c>
    </row>
    <row r="35" spans="1:10" s="90" customFormat="1" ht="15.75">
      <c r="A35" s="84" t="s">
        <v>3</v>
      </c>
      <c r="B35" s="85" t="s">
        <v>257</v>
      </c>
      <c r="C35" s="84" t="s">
        <v>252</v>
      </c>
      <c r="D35" s="86">
        <f>'B04'!H183/1000</f>
        <v>0.0396</v>
      </c>
      <c r="E35" s="86">
        <f>'B04'!I183/1000</f>
        <v>0.075</v>
      </c>
      <c r="F35" s="86">
        <f>'B04'!J183/1000</f>
        <v>0.026199999999999998</v>
      </c>
      <c r="G35" s="86">
        <f>'B04'!K183/1000</f>
        <v>0.075</v>
      </c>
      <c r="H35" s="89">
        <f t="shared" si="2"/>
        <v>189.39393939393938</v>
      </c>
      <c r="I35" s="86">
        <f>'B04'!N183/1000</f>
        <v>0.075</v>
      </c>
      <c r="J35" s="89">
        <f>I35/G35*100</f>
        <v>100</v>
      </c>
    </row>
    <row r="36" spans="1:10" s="90" customFormat="1" ht="15.75">
      <c r="A36" s="84" t="s">
        <v>3</v>
      </c>
      <c r="B36" s="85" t="s">
        <v>32</v>
      </c>
      <c r="C36" s="84" t="s">
        <v>252</v>
      </c>
      <c r="D36" s="86">
        <f>'B04'!H181/1000</f>
        <v>0.11567000000000002</v>
      </c>
      <c r="E36" s="86">
        <f>'B04'!I181/1000</f>
        <v>0.21325</v>
      </c>
      <c r="F36" s="86">
        <f>'B04'!J181/1000</f>
        <v>0.026525</v>
      </c>
      <c r="G36" s="86">
        <f>'B04'!K181/1000</f>
        <v>0.17075</v>
      </c>
      <c r="H36" s="89">
        <f>G36/D36*100</f>
        <v>147.61822425866688</v>
      </c>
      <c r="I36" s="86">
        <f>'B04'!N181/1000</f>
        <v>0.23175</v>
      </c>
      <c r="J36" s="89">
        <f t="shared" si="1"/>
        <v>135.7247437774524</v>
      </c>
    </row>
    <row r="37" spans="1:10" s="90" customFormat="1" ht="15.75">
      <c r="A37" s="87">
        <v>5</v>
      </c>
      <c r="B37" s="88" t="s">
        <v>258</v>
      </c>
      <c r="C37" s="86"/>
      <c r="D37" s="86"/>
      <c r="E37" s="86"/>
      <c r="F37" s="86"/>
      <c r="G37" s="86"/>
      <c r="H37" s="89"/>
      <c r="I37" s="86"/>
      <c r="J37" s="89"/>
    </row>
    <row r="38" spans="1:10" s="90" customFormat="1" ht="31.5">
      <c r="A38" s="84" t="s">
        <v>3</v>
      </c>
      <c r="B38" s="85" t="s">
        <v>259</v>
      </c>
      <c r="C38" s="84" t="s">
        <v>160</v>
      </c>
      <c r="D38" s="86">
        <v>54</v>
      </c>
      <c r="E38" s="86">
        <v>70</v>
      </c>
      <c r="F38" s="86">
        <v>67</v>
      </c>
      <c r="G38" s="86">
        <v>70</v>
      </c>
      <c r="H38" s="89">
        <f t="shared" si="2"/>
        <v>129.62962962962962</v>
      </c>
      <c r="I38" s="86">
        <v>75</v>
      </c>
      <c r="J38" s="89">
        <f t="shared" si="1"/>
        <v>107.14285714285714</v>
      </c>
    </row>
    <row r="39" spans="1:10" s="90" customFormat="1" ht="31.5">
      <c r="A39" s="84" t="s">
        <v>3</v>
      </c>
      <c r="B39" s="85" t="s">
        <v>260</v>
      </c>
      <c r="C39" s="84" t="s">
        <v>261</v>
      </c>
      <c r="D39" s="86">
        <v>11</v>
      </c>
      <c r="E39" s="86">
        <v>13.3</v>
      </c>
      <c r="F39" s="86">
        <v>11.3</v>
      </c>
      <c r="G39" s="86">
        <v>13.3</v>
      </c>
      <c r="H39" s="89">
        <f>G39/D39*100</f>
        <v>120.90909090909092</v>
      </c>
      <c r="I39" s="86">
        <v>15.7</v>
      </c>
      <c r="J39" s="89">
        <f t="shared" si="1"/>
        <v>118.04511278195488</v>
      </c>
    </row>
    <row r="40" spans="1:10" s="90" customFormat="1" ht="15.75">
      <c r="A40" s="84" t="s">
        <v>3</v>
      </c>
      <c r="B40" s="85" t="s">
        <v>220</v>
      </c>
      <c r="C40" s="84" t="s">
        <v>221</v>
      </c>
      <c r="D40" s="86">
        <v>0</v>
      </c>
      <c r="E40" s="86">
        <v>0</v>
      </c>
      <c r="F40" s="86">
        <v>0</v>
      </c>
      <c r="G40" s="86">
        <v>0</v>
      </c>
      <c r="H40" s="89"/>
      <c r="I40" s="86">
        <v>1</v>
      </c>
      <c r="J40" s="89"/>
    </row>
    <row r="41" spans="1:10" s="90" customFormat="1" ht="15.75">
      <c r="A41" s="84" t="s">
        <v>3</v>
      </c>
      <c r="B41" s="85" t="s">
        <v>222</v>
      </c>
      <c r="C41" s="84" t="s">
        <v>160</v>
      </c>
      <c r="D41" s="86">
        <v>0</v>
      </c>
      <c r="E41" s="86">
        <v>0</v>
      </c>
      <c r="F41" s="86">
        <v>0</v>
      </c>
      <c r="G41" s="86">
        <v>0</v>
      </c>
      <c r="H41" s="89"/>
      <c r="I41" s="89">
        <f>1/3*100</f>
        <v>33.33333333333333</v>
      </c>
      <c r="J41" s="89"/>
    </row>
  </sheetData>
  <sheetProtection/>
  <mergeCells count="9">
    <mergeCell ref="A1:J1"/>
    <mergeCell ref="A2:J2"/>
    <mergeCell ref="A4:A5"/>
    <mergeCell ref="B4:B5"/>
    <mergeCell ref="C4:C5"/>
    <mergeCell ref="D4:D5"/>
    <mergeCell ref="E4:H4"/>
    <mergeCell ref="I4:I5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2020-03-03T10:21:54Z</cp:lastPrinted>
  <dcterms:created xsi:type="dcterms:W3CDTF">2014-04-09T02:11:12Z</dcterms:created>
  <dcterms:modified xsi:type="dcterms:W3CDTF">2020-11-02T08:25:12Z</dcterms:modified>
  <cp:category/>
  <cp:version/>
  <cp:contentType/>
  <cp:contentStatus/>
</cp:coreProperties>
</file>