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9975" activeTab="0"/>
  </bookViews>
  <sheets>
    <sheet name="Báo cáo" sheetId="1" r:id="rId1"/>
  </sheets>
  <definedNames>
    <definedName name="_xlnm.Print_Area" localSheetId="0">'Báo cáo'!$A$8:$U$137</definedName>
    <definedName name="_xlnm.Print_Titles" localSheetId="0">'Báo cáo'!$8:$10</definedName>
  </definedNames>
  <calcPr fullCalcOnLoad="1"/>
</workbook>
</file>

<file path=xl/sharedStrings.xml><?xml version="1.0" encoding="utf-8"?>
<sst xmlns="http://schemas.openxmlformats.org/spreadsheetml/2006/main" count="519" uniqueCount="268">
  <si>
    <t>Đơn vị tính: triệu đồng</t>
  </si>
  <si>
    <t>STT</t>
  </si>
  <si>
    <t>Nội dung</t>
  </si>
  <si>
    <t>Nhóm (QTQG, A, B, C)</t>
  </si>
  <si>
    <t>Mã số dự án đầu tư</t>
  </si>
  <si>
    <t>Thời gian KC-HT</t>
  </si>
  <si>
    <t>Quyết định đầu tư</t>
  </si>
  <si>
    <t>Lũy kế vốn đã thanh toán từ khởi công đến hết niên độ năm trước năm báo cáo</t>
  </si>
  <si>
    <t>Số; ngày, tháng, năm</t>
  </si>
  <si>
    <t>Tổng mức đầu tư</t>
  </si>
  <si>
    <t>Tổng số</t>
  </si>
  <si>
    <t>Trong đó</t>
  </si>
  <si>
    <t>Tổng số các nguồn vốn</t>
  </si>
  <si>
    <t>Trong đó: vốn NSNN</t>
  </si>
  <si>
    <t>Kế hoạch vốn kéo dài năm trước chuyển sang</t>
  </si>
  <si>
    <t>Thanh toán vốn kéo dài năm trước chuyển sang</t>
  </si>
  <si>
    <t>Thanh toán kế hoạch vốn giao trong năm</t>
  </si>
  <si>
    <t>TỔNG SỐ (I+II)</t>
  </si>
  <si>
    <t>VỐN ĐẦU TƯ CÔNG TỪ NGUỒN NSNN</t>
  </si>
  <si>
    <t>Chương trình MTQG xây dựng nông thôn mới</t>
  </si>
  <si>
    <t>a</t>
  </si>
  <si>
    <t>a.1</t>
  </si>
  <si>
    <t>Nguồn chương trình mục tiêu phát triển kinh tế xã hội các vùng</t>
  </si>
  <si>
    <t>-</t>
  </si>
  <si>
    <t>B</t>
  </si>
  <si>
    <t>Kế hoạch vốn đầu tư công trung hạn giai đoạn 2016 - 2020</t>
  </si>
  <si>
    <t>Đầu tư xây dựng các tuyến đường ĐĐT 02, ĐĐT 03, ĐĐT 08 - Khu trung tâm hành chính huyện Ia H'Drai</t>
  </si>
  <si>
    <t>305/QĐ-UBND tỉnh ngày 31/03/2016</t>
  </si>
  <si>
    <t>C</t>
  </si>
  <si>
    <t>b</t>
  </si>
  <si>
    <t>b.1</t>
  </si>
  <si>
    <t>Nguồn phân cấp theo NQ 24/2015/NQ-HĐND tỉnh</t>
  </si>
  <si>
    <t>2017-</t>
  </si>
  <si>
    <t>2018-</t>
  </si>
  <si>
    <t>b.2</t>
  </si>
  <si>
    <t>Nguồn phân cấp đầu tư các xã biên giới</t>
  </si>
  <si>
    <t>b.4</t>
  </si>
  <si>
    <t>b.5</t>
  </si>
  <si>
    <t>Dự án khai thác quỹ đất để phát triển kết cấu hạ tầng Khu trung tâm hành chính huyện Ia H'Drai, tỉnh Kon Tum</t>
  </si>
  <si>
    <t>533/QĐ-UBND tỉnh ngày 19/05/2016</t>
  </si>
  <si>
    <t>868/QĐ-UBND huyện ngày 23/10/2017</t>
  </si>
  <si>
    <t>Trần Mai Tài</t>
  </si>
  <si>
    <t>Nguyễn Thanh Tuấn</t>
  </si>
  <si>
    <t>- Lưu: VT-LT</t>
  </si>
  <si>
    <t>- Sở Kế hoạch và Đầu tư; Sở Tài chính.</t>
  </si>
  <si>
    <t>ĐƠN VỊ BÁO CÁO: PHÒNG TÀI CHÍNH - KẾ HOẠCH HUYỆN IA H'DRAI</t>
  </si>
  <si>
    <t>2016 - 2018</t>
  </si>
  <si>
    <t>Đường giao thông ĐĐT38</t>
  </si>
  <si>
    <t>Vốn đầu tư phát triển</t>
  </si>
  <si>
    <t>Thời điểm tháng trước</t>
  </si>
  <si>
    <t>Phát sinh trong tháng</t>
  </si>
  <si>
    <t>Tỷ lệ %</t>
  </si>
  <si>
    <t>Vốn chương trình 30a</t>
  </si>
  <si>
    <t xml:space="preserve">TÌNH HÌNH THỰC HIỆN VÀ THANH TOÁN KẾ HOẠCH VỐN ĐẦU TƯ NGÂN SÁCH NHÀ NƯỚC CÁC DỰ ÁN DO HUYỆN QUẢN LÝ </t>
  </si>
  <si>
    <t>Đường giao thông thôn Chư Hem, xã Ia Đal</t>
  </si>
  <si>
    <t>690/QĐ-UBND huyện ngày 19/10/2018</t>
  </si>
  <si>
    <t>2019-</t>
  </si>
  <si>
    <t>711/QĐ-UBND huyện ngày 30/10/2018</t>
  </si>
  <si>
    <t>683/QĐ-UBND huyện ngày 18/10/2018</t>
  </si>
  <si>
    <t>Trường Tiểu học Lê Quý Đôn; Hạng mục Nhà học 06 phòng và công trình phụ trợ</t>
  </si>
  <si>
    <t>Kè chống sạt lở (khu trung tâm hành chính huyện (phía sau Huyện ủy)</t>
  </si>
  <si>
    <t>Đường giao thông ĐĐT19</t>
  </si>
  <si>
    <t>02/QĐ-UBND huyện ngày 08/01/2019</t>
  </si>
  <si>
    <t>Lưới điện vào điểm dân cư làng cá thôn 7, xã Ia Tơi, huyện Ia H'Drai</t>
  </si>
  <si>
    <t>Đường GTNT và hạng mục khác Khu vực làng cá, thôn 7 xã Ia Tơi</t>
  </si>
  <si>
    <t>Điểm trường mầm non thôn 8 xã Ia Tơi</t>
  </si>
  <si>
    <t>Đường giao thông nội bộ điểm dân cư số 20, thôn 7, xã Ia Đal</t>
  </si>
  <si>
    <t>Đường giao thông Thôn 2 (Nông trường 3 cao su Chư Mon Ray)</t>
  </si>
  <si>
    <t xml:space="preserve">Đường GTNT NT3-1, thôn 3, Ia Dom </t>
  </si>
  <si>
    <t>Đường giao thông nội bộ khu dân cư TT xã Ia Đal (Đ5), Thôn Ia Đal, xã Ia Đal</t>
  </si>
  <si>
    <t>2016-</t>
  </si>
  <si>
    <t>Nguồn Đầu tư các công trình cấp bách khác</t>
  </si>
  <si>
    <t>Mái che nhà công vụ khối Huyện ủy và Khối UBND huyện</t>
  </si>
  <si>
    <t>865/QĐ-UBND huyện ngày 28/09/2018</t>
  </si>
  <si>
    <t>Chi đầu tư xây dựng cơ bản</t>
  </si>
  <si>
    <t>711c/QĐ-UBND huyện ngày 30/10/2018</t>
  </si>
  <si>
    <t>Giải ngân tại kho bạc tỉnh</t>
  </si>
  <si>
    <t>Giải ngân tại kho bạc huyện</t>
  </si>
  <si>
    <t>Đầu tư cứng hóa mặt Đường vào khu sản xuất số 1, thôn 2, xã Ia Dom</t>
  </si>
  <si>
    <t>Biểu số: 02/ĐP-TT</t>
  </si>
  <si>
    <t xml:space="preserve"> ỦY BAN NHÂN DÂN HUYỆN IA H'DRAI</t>
  </si>
  <si>
    <t xml:space="preserve">Đường giao thông nối tiếp từ đường ĐĐT02 đi cầu Drai </t>
  </si>
  <si>
    <t>Đường giao thông từ Cầu Drai đến Đường tuần tra Biên giới tại khu vực Hồ Le (Đoạn Km3+426,82 - Km6+475,67)</t>
  </si>
  <si>
    <t>Hồ chứa nước số 2 trung tâm hành chính huyện</t>
  </si>
  <si>
    <t>Công trình Thủy lợi Hồ chứa nước xã IV (Thôn 1, thôn 2, xã Ia Đal, huyện Ia H'Drai)</t>
  </si>
  <si>
    <t xml:space="preserve">7770340
</t>
  </si>
  <si>
    <t>576/QĐ-UBND tỉnh ngày 07/6/2019</t>
  </si>
  <si>
    <t>578/QĐ-UBND tỉnh ngày 07/6/2019</t>
  </si>
  <si>
    <t>Vốn ngân sách Trung ương các chương trình MTQG</t>
  </si>
  <si>
    <t>Cấp nước sinh hoạt trung tâm huyện Ia H'Drai</t>
  </si>
  <si>
    <t>279/QĐ-UBND tỉnh ngày 30/03/2016</t>
  </si>
  <si>
    <t>Đầu tư lưới điện hạ thế trung tâm hành chính huyện</t>
  </si>
  <si>
    <t>+</t>
  </si>
  <si>
    <t>(Kèm theo Báo cáo số 564  /BC-UBND ngày 12 / 11   / 2019 của Ủy ban nhân dân huyện Ia H’Drai)</t>
  </si>
  <si>
    <t>Đường giao thông số 4 thôn 1, xã Ia Tơi</t>
  </si>
  <si>
    <t>881/QĐ-UBND tỉnh ngày 23/8/2019</t>
  </si>
  <si>
    <t>880/QĐ-UBND tỉnh ngày 23/8/2019</t>
  </si>
  <si>
    <t>373/QĐ-UBND huyện ngày 24/9/2019</t>
  </si>
  <si>
    <t>495/QĐ-UBND ngày 30/10/2019</t>
  </si>
  <si>
    <t>Kế hoạch vốn đầu tư năm 2020</t>
  </si>
  <si>
    <t>Kế hoạch giao trong năm 2020</t>
  </si>
  <si>
    <t>Hồ chứa nước và các hạng mục phụ trợ khu dân cư phía Đông trung tâm xã Ia Tơi</t>
  </si>
  <si>
    <t>498/QĐ-UBND tỉnh ngày 31/10/2019</t>
  </si>
  <si>
    <t xml:space="preserve">Nguồn thu sử dụng đất từ các dự án </t>
  </si>
  <si>
    <t>Đầu tư cứng hóa mặt Đường vào khu sản xuất số 2, thôn 2, xã Ia Dom</t>
  </si>
  <si>
    <t>Điểm trường tiểu học thôn 9 xã Ia Tơi</t>
  </si>
  <si>
    <t>Đường GTNT số 3, thôn 1, xã Ia Tơi</t>
  </si>
  <si>
    <t>Đường GTNT NT6-1 thôn 6, xã Ia Đal</t>
  </si>
  <si>
    <t>Đường GTNT Chư Hem-1 thôn Chư Hem</t>
  </si>
  <si>
    <t>Đầu tư cứng hóa mặt Đường vào khu sản xuất thôn 1, xã Ia Dom</t>
  </si>
  <si>
    <t>Đường giao thông nông thôn điểm dân cư 64 thôn Ia Đơr, xã Ia Tơi</t>
  </si>
  <si>
    <t>Lưới điện trung tâm điểm dân cư thôn 9, xã Ia Tơi, huyện Ia H'Drai</t>
  </si>
  <si>
    <t>Lưới điện vào điểm dân cư 41 mở rộng (Sau Ủy ban nhân dân xã Ia Tơi) thôn1, xã Ia Tơi.</t>
  </si>
  <si>
    <t>Nhà văn hóa cộng đồng thôn 7</t>
  </si>
  <si>
    <t>Nhà văn hóa cộng đồng thôn 8</t>
  </si>
  <si>
    <t>Đường GTNT thôn 2, xã Ia Dom (Điểm dân cư phía sau Nông trường Suối Cát)</t>
  </si>
  <si>
    <t>Lưới điện cấp điện điểm dân cư</t>
  </si>
  <si>
    <t>Nhà văn hóa cộng đồng thôn 1  xã Ia Dom</t>
  </si>
  <si>
    <t>Nhà văn hóa cộng đồng thôn 2  xã Ia Dom</t>
  </si>
  <si>
    <t>Xây dựng điểm trường tiểu học tại NT1-Duy Tân (trường TH-THCS Nguyễn Du), xã Ia Dom</t>
  </si>
  <si>
    <t>Xây dựng lớp Mầm Non (Điểm trường tại NT1-Duy Tân, trường Mầm non Tuổi Ngọc) xã Ia Dom</t>
  </si>
  <si>
    <t>Đường GTNT đội 8, thôn 8, xã Ia Đal</t>
  </si>
  <si>
    <t>Đường GTNT thôn 4 đi thôn Chư Hem, xã Ia Đal</t>
  </si>
  <si>
    <t>Đường GTNT đội 7, thôn 8 xã Ia Đal</t>
  </si>
  <si>
    <t>Đường GTNT đội 3, thôn 5 xã Ia Đal</t>
  </si>
  <si>
    <t>Đài truyền thanh và hệ thống loa đến các thôn (TC Thông tin và truyền thông)</t>
  </si>
  <si>
    <t>San ủi Sân vận động xã Ia Đal</t>
  </si>
  <si>
    <t>2020-</t>
  </si>
  <si>
    <t>Đường GTNT NT3-1, thôn 3, xã Ia Dom (GĐ2)</t>
  </si>
  <si>
    <t>499/QĐ-UBND huyện ngày 30/10/2019</t>
  </si>
  <si>
    <t>711a/QĐ-UBND huyện ngày 30/10/2018</t>
  </si>
  <si>
    <t>711b/QĐ-UBND huyện ngày 30/10/2018</t>
  </si>
  <si>
    <t>a2</t>
  </si>
  <si>
    <t>Chương trình MTQG giảm nghèo bền vững (135)</t>
  </si>
  <si>
    <t>a3</t>
  </si>
  <si>
    <t>Nguồn phân cấp hỗ trợ, bổ sung khác</t>
  </si>
  <si>
    <t>Dự án đầu tư kết cấu hạ tầng điểm dân cư số 20, xã Ia Đal</t>
  </si>
  <si>
    <t>Dự án đầu tư kết cấu hạ tầng QH phía bắc Trung tâm hành chính huyện</t>
  </si>
  <si>
    <t>San lấp mặt bằng trước chợ trung tâm huyện</t>
  </si>
  <si>
    <t>Chợ trung tâm huyện</t>
  </si>
  <si>
    <t>Khắc phục cống thoát nước và nền mặt đường trên cống đường giao thông nông thôn, thôn 3 xã Ia Dom (Km17+728,73)</t>
  </si>
  <si>
    <t>415/QĐ-UBND huyện ngày 08/10/2019</t>
  </si>
  <si>
    <t>Nguồn kết dự ngân sách huyện 2019</t>
  </si>
  <si>
    <t>Đường từ bến đò Làng Nú đi điểm dân cư số 64, Thôn Ia Đơr, xã Ia Tơi huyện Ia H’Drai</t>
  </si>
  <si>
    <t>245/QĐ-UBND huyện ngày 28/6/2019</t>
  </si>
  <si>
    <t>Nguồn ngân sách tỉnh bổ sung (Nguồn dự phòng ngân sách tỉnh năm 2018 còn tồn chuyển nguồn sang năm 2019)</t>
  </si>
  <si>
    <t>b.6</t>
  </si>
  <si>
    <t>b.7</t>
  </si>
  <si>
    <t>Khắc phục cống thoát nước và nền, mặt đường trên cống đường giao thông nông thôn, thôn 3-xã Ia Dom (Km14+403,85)</t>
  </si>
  <si>
    <t>496/QĐ-UBND huyện ngày 30/10/2019</t>
  </si>
  <si>
    <t>Lưới điện trung thế, hạ thế và trạm biến áp tại điểm dân cư số 34, xã Ia Đal</t>
  </si>
  <si>
    <t>494/QĐ-UBND huyện ngày 30/10/2020</t>
  </si>
  <si>
    <t>Nguồn ngân sách tỉnh bổ sung (Nguồn tiết kiệm chi ngân sách tỉnh năm 2018 bổ sung cho ngân sách huyện)</t>
  </si>
  <si>
    <t>b.8</t>
  </si>
  <si>
    <t>Nguồn tăng thu ngân sách huyện năm 2019</t>
  </si>
  <si>
    <t>Chi trả các chi phí quyết toán (Đường giao thông nội thôn điểm dân cư thôn 1 xã Ia Dom (Đoạn 2))</t>
  </si>
  <si>
    <t>1003i/QĐ-UBND huyện ngày 30/10/2016</t>
  </si>
  <si>
    <t>Chi trả các chi phí quyết toán (Đường giao thông nội thôn điểm dân cư thôn 4 xã Ia Đal (Đoạn 2))</t>
  </si>
  <si>
    <t>1003d/QĐ-UBND huyện ngày 31/10/2016</t>
  </si>
  <si>
    <t>Chi trả các chi phí quyết toán (Đường giao thôn nội thôn điểm dân cư thôn 1 xã Ia Tơi (Đoạn 2))</t>
  </si>
  <si>
    <t>1000e/QĐ-UBND huyện ngày 31/10/2016</t>
  </si>
  <si>
    <t>Chi trả các chi phí quyết toán (Giếng nước trụ sở HĐND - UBND huyện Ia H'Drai)</t>
  </si>
  <si>
    <t>528a/QĐ-UBND huyện ngày 31/5/2018</t>
  </si>
  <si>
    <t>Chi trả các chi phí quyết toán (Trường Tiểu học Lê Quý Đôn, điểm trường thôn 9. HM: Giếng khoan)</t>
  </si>
  <si>
    <t>801/QĐ-UBND huyện ngày 28/9/2017</t>
  </si>
  <si>
    <t>b.9</t>
  </si>
  <si>
    <t>b.10</t>
  </si>
  <si>
    <t>Đường giao thông số 2, xã Ia Tơi</t>
  </si>
  <si>
    <t xml:space="preserve">Đường  GTNT TT xã Ia Dom (D1,D2,D3), thôn1, Ia Dom </t>
  </si>
  <si>
    <t>Điểm trường nầm non thôn 1, 2, xã Ia Đal</t>
  </si>
  <si>
    <t>Đường giao thông nội bộ khu dân cư TT xã Ia Đal (Đ3), Thôn Ia Đal, xã Ia Đal</t>
  </si>
  <si>
    <t>Đường giao thông nội bộ khu dân cư TT xã Ia Đal (Đ4), Thôn Ia Đal, xã Ia Đal</t>
  </si>
  <si>
    <t>Công trình cấp nước và hạng mục phụ trợ thôn 1, xã Ia Đal</t>
  </si>
  <si>
    <t xml:space="preserve">Công trình cấp nước và hạng mục phụ trợ thôn 1 + thôn 2, xã Ia Đal </t>
  </si>
  <si>
    <t>Cấp nước sinh hoạt thôn Ia Mung và hạng mục phụ trợ</t>
  </si>
  <si>
    <r>
      <t xml:space="preserve">Đường giao thông thôn 1, xã Ia Dom (Đoạn từ trung tâm xã đi nhà máy cấp nước sinh hoạt trung tâm huyện Ia H’Drai </t>
    </r>
    <r>
      <rPr>
        <i/>
        <sz val="11"/>
        <rFont val="Times New Roman"/>
        <family val="1"/>
      </rPr>
      <t>(D1-1))</t>
    </r>
  </si>
  <si>
    <t>896/QĐ-UBND huyện ngày 30/10/2017</t>
  </si>
  <si>
    <r>
      <t xml:space="preserve">Đường giao thông nội bộ khu dân cư thôn Ia Đal, xã Ia Đal (Đoạn trung tâm xã Ia Đal </t>
    </r>
    <r>
      <rPr>
        <i/>
        <sz val="11"/>
        <rFont val="Times New Roman"/>
        <family val="1"/>
      </rPr>
      <t>(Đ4))</t>
    </r>
  </si>
  <si>
    <t>881/QĐ-UBND huyện ngày 30/10/2017</t>
  </si>
  <si>
    <t>292/QĐ-UBND huyện ngày 31/7/2019</t>
  </si>
  <si>
    <t>438/QĐ-UBND huyện ngày 15/10/2019</t>
  </si>
  <si>
    <t>467/QĐ-UBND huyện ngày 25/10/2019</t>
  </si>
  <si>
    <t>297/QĐ-UBND huyện ngày 30/10/2019</t>
  </si>
  <si>
    <t>Nguồn vốn ngân sách tỉnh (vốn ứng trước)</t>
  </si>
  <si>
    <t>10 = (11+12)</t>
  </si>
  <si>
    <t>13 = (14+15</t>
  </si>
  <si>
    <t>Nguồn thu tiền sử dụng đất trong cân đối (đã giao)</t>
  </si>
  <si>
    <t>Đường giao thông từ Đồn Suối Cát đi Trung tâm xã Ia Đal</t>
  </si>
  <si>
    <t xml:space="preserve">Trường Trung học cơ sở Bế Văn Đàn, xã Ia Đal, huyện Ia H'Drai </t>
  </si>
  <si>
    <t>577/QĐ-UBND tỉnh ngày 07/6/2019</t>
  </si>
  <si>
    <t>564/QĐ-UBND tỉnh ngày 05/6/2019</t>
  </si>
  <si>
    <t>Từ 2017</t>
  </si>
  <si>
    <t>Nguồn cân đối ngân sách ngân sách địa phương (Ngân sách tỉnh)</t>
  </si>
  <si>
    <t>1295/QĐ-UBND tỉnh ngày 31/10/2016</t>
  </si>
  <si>
    <r>
      <t xml:space="preserve">Xây dựng điểm dân cư số 64 </t>
    </r>
    <r>
      <rPr>
        <i/>
        <sz val="11"/>
        <rFont val="Times New Roman"/>
        <family val="1"/>
      </rPr>
      <t>(Trung tâm hành chính xã VI)</t>
    </r>
    <r>
      <rPr>
        <sz val="11"/>
        <rFont val="Times New Roman"/>
        <family val="1"/>
      </rPr>
      <t xml:space="preserve"> thuộc xã Ia Tơi để thực hiện đề án di dân, bố trí, sắp xếp dân cư trên địa bàn huyện Ia H'Drai</t>
    </r>
  </si>
  <si>
    <t>a.4</t>
  </si>
  <si>
    <t>Công trình cấp nước tập trung tại thôn Ia Đơr, xã Ia Tơi</t>
  </si>
  <si>
    <t>Dự án mở rộng Quốc lộ 14C (đoạn từ N2-N5)</t>
  </si>
  <si>
    <t>188/QĐ-UBND huyện ngày22/4/2020</t>
  </si>
  <si>
    <t>Đường điện thôn 3, xã  Ia Đal</t>
  </si>
  <si>
    <t>Đường GTNT đội 5, thôn 6, xã Ia Đal</t>
  </si>
  <si>
    <t>Dự án đầu tư xây dựng các tuyến đường ĐĐT02, ĐĐT03, ĐĐT08 - Khu Trung tâm hành chính huyện Ia H’Drai</t>
  </si>
  <si>
    <r>
      <t xml:space="preserve">Nguồn thu tiền XSKT </t>
    </r>
    <r>
      <rPr>
        <b/>
        <i/>
        <sz val="11"/>
        <rFont val="Times New Roman"/>
        <family val="1"/>
      </rPr>
      <t>(Phân cấp ĐT&amp;GD)</t>
    </r>
  </si>
  <si>
    <t>b.11</t>
  </si>
  <si>
    <t>b3</t>
  </si>
  <si>
    <t xml:space="preserve">44/QĐ-UBND
25/06/2019 của UBND xã Ia Đal </t>
  </si>
  <si>
    <t xml:space="preserve">45/QĐ-UBND
25/06/2019 của UBND xã Ia Đal </t>
  </si>
  <si>
    <t xml:space="preserve">21/QĐ-UBND
17/03/2020 của UBND xã Ia Đal </t>
  </si>
  <si>
    <t xml:space="preserve">23/QĐ-UBND
17/03/2020 của UBND xã Ia Đal </t>
  </si>
  <si>
    <t xml:space="preserve">22/QĐ-UBND
17/03/2020 của UBND xã Ia Đal </t>
  </si>
  <si>
    <t xml:space="preserve">51/QĐ-UBND
16/06/2020 của UBND xã Ia Đal </t>
  </si>
  <si>
    <t xml:space="preserve">26/QĐ-UBND
25/03/2020 của UBND xã Ia Đal </t>
  </si>
  <si>
    <t xml:space="preserve">24/QĐ-UBND
25/03/2020 của UBND xã Ia Đal </t>
  </si>
  <si>
    <t xml:space="preserve">25/QĐ-UBND
25/03/2020 của UBND xã Ia Đal </t>
  </si>
  <si>
    <t xml:space="preserve">43/QĐ-UBND
23/04/2020 của UBND xã Ia Đal </t>
  </si>
  <si>
    <t xml:space="preserve">44/QĐ-UBND
23/04/2020 của UBND xã Ia Đal </t>
  </si>
  <si>
    <t xml:space="preserve">27/QĐ-UBND
27/03/2020 của UBND xã Ia Đal </t>
  </si>
  <si>
    <t>Số 58a/QĐ-UBND ngày 18/06/2019 của UBND xã Ia Dom</t>
  </si>
  <si>
    <t>Số 18/QĐ-UBND ngày 18/06/2020 của UBND xã Ia Dom</t>
  </si>
  <si>
    <t>Số 17/QĐ-UBND ngày 14/02/2020 của UBND xã Ia Dom</t>
  </si>
  <si>
    <t>Số 16/QĐ-UBND ngày 14/02/2020 của UBND xã Ia Dom</t>
  </si>
  <si>
    <t>Số 72/QĐ-UBND ngày 24/6/2020 của UBND xã Ia Dom</t>
  </si>
  <si>
    <t>Số 71/QĐ-UBND ngày 24/06/2020 của UBND xã Ia Dom</t>
  </si>
  <si>
    <t>Số 70/QĐ-UBND ngày 24/06/2020 của UBND xã Ia Dom</t>
  </si>
  <si>
    <t>Số 37a/QĐ-UBND ngày 02/04/2020 của UBND xã Ia Dom</t>
  </si>
  <si>
    <t>Số 36a/QĐ-UBND ngày 02/04/2020 của UBND xã Ia Dom</t>
  </si>
  <si>
    <t>435/QĐ-UBND ngày 14/10/2019 của UBND huyện Ia H'Drai</t>
  </si>
  <si>
    <t>433/QĐ-UBND ngày 14/10/2019 của UBND huyện Ia H'Drai</t>
  </si>
  <si>
    <t>423/QĐ-UBND ngày 10/10/2019 của UBND huyện Ia H'Drai</t>
  </si>
  <si>
    <t>07/QĐ-UBND ngày 28/2/2019 của UBND xã Ia Tơi</t>
  </si>
  <si>
    <t>23//QĐ-UBND ngày 08/5/2019 của UBND xã Ia Tơi</t>
  </si>
  <si>
    <t>20/QĐ-UBND ngày 03/3/2020 của UBND xã Ia Tơi</t>
  </si>
  <si>
    <t>16/QĐ-UBND ngày 18/02/2020 của UBND xã Ia Tơi</t>
  </si>
  <si>
    <t xml:space="preserve"> 08/QĐ-UBND ngày 08/3/2019 của UBND xã Ia Tơi</t>
  </si>
  <si>
    <t>21/QĐ-UBND ngày 04/3/2020 của UBND xã Ia Tơi</t>
  </si>
  <si>
    <t>32/QĐ-UBND ngày 04/5/2020 của UBND xã Ia Tơi</t>
  </si>
  <si>
    <t>04QĐ-UBND ngày 14/01/2020 của UBND xã Ia Tơi</t>
  </si>
  <si>
    <t>55/QĐ-UBND ngày 14/7/2020của UBND xã Ia Tơi</t>
  </si>
  <si>
    <t xml:space="preserve"> 22/QĐ-UBND IaTơi ngày 02/8/2018 của UBND xã Ia Tơi</t>
  </si>
  <si>
    <t xml:space="preserve"> 34/QĐ-UBND ngày 22/4/2019 của UBND xã Ia Dom</t>
  </si>
  <si>
    <t xml:space="preserve"> 33/QĐ-UBND ngày 03/06/2019 của UBND xã Ia Đal</t>
  </si>
  <si>
    <t xml:space="preserve"> 35/QĐ-UBND ngày 03/06/2019 của UBND xã Ia Đal</t>
  </si>
  <si>
    <t xml:space="preserve"> 34/QĐ-UBND ngày 03/06/2019 của UBND xã Ia Đal</t>
  </si>
  <si>
    <t>Đường giao thông từ Cầu Drai đến Đường tuần tra Biên giới tại khu vực Hồ Le (Đoạn Km6+475,67 - Km7+315)</t>
  </si>
  <si>
    <t>1227/QĐ-UBND tỉnh ngày 31/10/2019</t>
  </si>
  <si>
    <t>Nguồn tăng thu ngân sách tỉnh năm 2019</t>
  </si>
  <si>
    <t>Cấp nước sinh hoạt tập trung tại thôn 4, xã Ia Dom</t>
  </si>
  <si>
    <t>TMĐT dự kiến</t>
  </si>
  <si>
    <t>b.12</t>
  </si>
  <si>
    <t>Công trình cấp nước sinh hoạt tại thôn 3 xã Ia Dom</t>
  </si>
  <si>
    <t>Đường giao thông nông thôn số 4, thôn 1 xã Ia Tơi (Giai đoạn 2)</t>
  </si>
  <si>
    <r>
      <t xml:space="preserve">Đầu tư lưới điện hạ thế trung tâm hành chính huyện </t>
    </r>
    <r>
      <rPr>
        <i/>
        <sz val="11"/>
        <rFont val="Times New Roman"/>
        <family val="1"/>
      </rPr>
      <t>(Trong đó: thanh toán vốn ứng là 38,057 triệu đồng)</t>
    </r>
  </si>
  <si>
    <r>
      <t xml:space="preserve">Cầu Drai (thuộc Đường giao thông nối trung tâm hành chính huyện với đường tuần tra biên giới khu vực Hồ Le)
</t>
    </r>
    <r>
      <rPr>
        <i/>
        <sz val="11"/>
        <rFont val="Times New Roman"/>
        <family val="1"/>
      </rPr>
      <t>(Trong đó: thanh toán vốn ứng là 3.060,932 triệu đồng)</t>
    </r>
  </si>
  <si>
    <r>
      <t xml:space="preserve">Đầu tư lưới điện hạ thế trung tâm hành chính huyện
</t>
    </r>
    <r>
      <rPr>
        <i/>
        <sz val="11"/>
        <rFont val="Times New Roman"/>
        <family val="1"/>
      </rPr>
      <t>(Trong đó: thanh toán vốn ứng là 115, 953 triệu đồng)</t>
    </r>
  </si>
  <si>
    <t>Nguồn sử dụng rừng</t>
  </si>
  <si>
    <r>
      <t xml:space="preserve">Đầu tư lưới điện hạ thế trung tâm hành chính huyện
</t>
    </r>
    <r>
      <rPr>
        <i/>
        <sz val="11"/>
        <rFont val="Times New Roman"/>
        <family val="1"/>
      </rPr>
      <t>(Trong đó: thanh toán vốn ứng là 239,638 triệu đồng)</t>
    </r>
  </si>
  <si>
    <t>b.13</t>
  </si>
  <si>
    <t>b.13.1</t>
  </si>
  <si>
    <t>b.13.2</t>
  </si>
  <si>
    <r>
      <t xml:space="preserve">Đầu tư lưới điện hạ thế trung tâm hành chính huyện
</t>
    </r>
    <r>
      <rPr>
        <i/>
        <sz val="11"/>
        <rFont val="Times New Roman"/>
        <family val="1"/>
      </rPr>
      <t>(Trong đó: thanh toán vốn ứng là 44,519 triệu đồng)</t>
    </r>
  </si>
  <si>
    <t>Đến hết ngày 31/10/2020</t>
  </si>
  <si>
    <r>
      <t xml:space="preserve">Thanh toán kế hoạch vốn đầu tư </t>
    </r>
    <r>
      <rPr>
        <b/>
        <i/>
        <sz val="11"/>
        <rFont val="Times New Roman"/>
        <family val="1"/>
      </rPr>
      <t>(đến hết ngày 25/11/2020)</t>
    </r>
  </si>
  <si>
    <t>Cầu Drai (thuộc Đường giao thông nối trung tâm hành chính huyện với đường tuần tra biên giới khu vực Hồ Le)</t>
  </si>
  <si>
    <t>Dự án khai thác quỹ đất để phát triển kết cấu hạ tầng, bố trí dân cư dọc hai bên Quốc lộ 14C (đoạn từ Trung tâm hành chính huyện đến ngã ba Quốc lộ 14C - Sê San 3)</t>
  </si>
  <si>
    <t>3538/UBND ngày 29/12/2017</t>
  </si>
  <si>
    <t>Ước thực hiện năm 2020</t>
  </si>
  <si>
    <t>Thực hiện đến 25/11/2020
só với KH</t>
  </si>
  <si>
    <t>Ước Thực hiện năm 2020
só với KH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</si>
</sst>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 _₫_-;\-* #,##0.0\ _₫_-;_-* &quot;-&quot;??\ _₫_-;_-@_-"/>
    <numFmt numFmtId="185" formatCode="_-* #,##0\ _₫_-;\-* #,##0\ _₫_-;_-* &quot;-&quot;??\ _₫_-;_-@_-"/>
    <numFmt numFmtId="186" formatCode="_-* #,##0.000\ _₫_-;\-* #,##0.000\ _₫_-;_-* &quot;-&quot;??\ _₫_-;_-@_-"/>
    <numFmt numFmtId="187" formatCode="_(* #,##0.000_);_(* \(#,##0.000\);_(* &quot;-&quot;???_);_(@_)"/>
    <numFmt numFmtId="188" formatCode="_-* #,##0.00\ _₫_-;\-* #,##0.00\ _₫_-;_-* &quot;-&quot;\ _₫_-;_-@_-"/>
    <numFmt numFmtId="189" formatCode="_-* #,##0.0000\ _₫_-;\-* #,##0.0000\ _₫_-;_-* &quot;-&quot;??\ _₫_-;_-@_-"/>
    <numFmt numFmtId="190" formatCode="_-* #,##0.0000\ _₫_-;\-* #,##0.0000\ _₫_-;_-* &quot;-&quot;????\ _₫_-;_-@_-"/>
    <numFmt numFmtId="191" formatCode="0.000"/>
    <numFmt numFmtId="192" formatCode="_-* #,##0.00000\ _₫_-;\-* #,##0.00000\ _₫_-;_-* &quot;-&quot;??\ _₫_-;_-@_-"/>
    <numFmt numFmtId="193" formatCode="_-* #,##0.000000\ _₫_-;\-* #,##0.000000\ _₫_-;_-* &quot;-&quot;??\ _₫_-;_-@_-"/>
    <numFmt numFmtId="194" formatCode="_-* #,##0.000\ _₫_-;\-* #,##0.000\ _₫_-;_-* &quot;-&quot;???\ _₫_-;_-@_-"/>
    <numFmt numFmtId="195" formatCode="_-* #,##0.0000000\ _₫_-;\-* #,##0.0000000\ _₫_-;_-* &quot;-&quot;??\ _₫_-;_-@_-"/>
    <numFmt numFmtId="196" formatCode="_-* #,##0.00000000\ _₫_-;\-* #,##0.00000000\ _₫_-;_-* &quot;-&quot;??\ _₫_-;_-@_-"/>
    <numFmt numFmtId="197" formatCode="_-* #,##0.0\ _₫_-;\-* #,##0.0\ _₫_-;_-* &quot;-&quot;?\ _₫_-;_-@_-"/>
    <numFmt numFmtId="198" formatCode="_-* #,##0.000000000\ _₫_-;\-* #,##0.000000000\ _₫_-;_-* &quot;-&quot;??\ _₫_-;_-@_-"/>
    <numFmt numFmtId="199" formatCode="[$-42A]dd\ mmmm\ yyyy"/>
    <numFmt numFmtId="200" formatCode="[$-42A]h:mm:ss\ AM/PM"/>
    <numFmt numFmtId="201" formatCode="_-* #,##0.0000000000\ _₫_-;\-* #,##0.0000000000\ _₫_-;_-* &quot;-&quot;??\ _₫_-;_-@_-"/>
    <numFmt numFmtId="202" formatCode="_-* #,##0.000000\ _₫_-;\-* #,##0.000000\ _₫_-;_-* &quot;-&quot;??????\ _₫_-;_-@_-"/>
    <numFmt numFmtId="203" formatCode="0.0"/>
    <numFmt numFmtId="204" formatCode="0.0000"/>
    <numFmt numFmtId="205" formatCode="0.00000"/>
    <numFmt numFmtId="206" formatCode="0.000000"/>
    <numFmt numFmtId="207" formatCode="0.0000000"/>
    <numFmt numFmtId="208" formatCode="_-* #,##0.0000000\ _₫_-;\-* #,##0.0000000\ _₫_-;_-* &quot;-&quot;???????\ _₫_-;_-@_-"/>
    <numFmt numFmtId="209" formatCode="_-* #,##0.000000\ _₫_-;\-* #,##0.000000\ _₫_-;_-* &quot;-&quot;???????\ _₫_-;_-@_-"/>
    <numFmt numFmtId="210" formatCode="_-* #,##0.00000000\ _₫_-;\-* #,##0.00000000\ _₫_-;_-* &quot;-&quot;???????\ _₫_-;_-@_-"/>
    <numFmt numFmtId="211" formatCode="_-* #,##0.00000\ _₫_-;\-* #,##0.00000\ _₫_-;_-* &quot;-&quot;???????\ _₫_-;_-@_-"/>
    <numFmt numFmtId="212" formatCode="_-* #,##0.0000\ _₫_-;\-* #,##0.0000\ _₫_-;_-* &quot;-&quot;???????\ _₫_-;_-@_-"/>
    <numFmt numFmtId="213" formatCode="_-* #,##0.000\ _₫_-;\-* #,##0.000\ _₫_-;_-* &quot;-&quot;???????\ _₫_-;_-@_-"/>
    <numFmt numFmtId="214" formatCode="_-* #,##0.00\ _₫_-;\-* #,##0.00\ _₫_-;_-* &quot;-&quot;???????\ _₫_-;_-@_-"/>
    <numFmt numFmtId="215" formatCode="_-* #,##0.0\ _₫_-;\-* #,##0.0\ _₫_-;_-* &quot;-&quot;???????\ _₫_-;_-@_-"/>
    <numFmt numFmtId="216" formatCode="_-* #,##0.00_-;\-* #,##0.00_-;_-* &quot;-&quot;??_-;_-@_-"/>
    <numFmt numFmtId="217" formatCode="_(* #,##0_);_(* \(#,##0\);_(* &quot;-&quot;??_);_(@_)"/>
    <numFmt numFmtId="218" formatCode="_-* #,##0\ _₫_-;\-* #,##0\ _₫_-;_-* &quot;-&quot;???????\ _₫_-;_-@_-"/>
    <numFmt numFmtId="219" formatCode="#,##0_ ;\-#,##0\ "/>
    <numFmt numFmtId="220" formatCode="#,##0.0_ ;\-#,##0.0\ "/>
  </numFmts>
  <fonts count="55">
    <font>
      <sz val="11"/>
      <color theme="1"/>
      <name val="Calibri"/>
      <family val="2"/>
    </font>
    <font>
      <sz val="11"/>
      <color indexed="8"/>
      <name val="Calibri"/>
      <family val="2"/>
    </font>
    <font>
      <sz val="12"/>
      <color indexed="8"/>
      <name val="Arial Narrow"/>
      <family val="2"/>
    </font>
    <font>
      <sz val="13"/>
      <name val="Times New Roman"/>
      <family val="1"/>
    </font>
    <font>
      <sz val="14"/>
      <name val="Times New Roman"/>
      <family val="1"/>
    </font>
    <font>
      <b/>
      <sz val="11"/>
      <name val="Times New Roman"/>
      <family val="1"/>
    </font>
    <font>
      <b/>
      <i/>
      <sz val="11"/>
      <name val="Times New Roman"/>
      <family val="1"/>
    </font>
    <font>
      <i/>
      <sz val="11"/>
      <name val="Times New Roman"/>
      <family val="1"/>
    </font>
    <font>
      <sz val="11"/>
      <name val="Times New Roman"/>
      <family val="1"/>
    </font>
    <font>
      <sz val="10"/>
      <name val="Times New Roman"/>
      <family val="1"/>
    </font>
    <font>
      <sz val="10"/>
      <name val="Narrow"/>
      <family val="0"/>
    </font>
    <font>
      <b/>
      <sz val="14"/>
      <name val="Times New Roman"/>
      <family val="1"/>
    </font>
    <font>
      <b/>
      <sz val="10"/>
      <name val="Times New Roman"/>
      <family val="1"/>
    </font>
    <font>
      <b/>
      <i/>
      <sz val="14"/>
      <name val="Times New Roman"/>
      <family val="1"/>
    </font>
    <font>
      <b/>
      <i/>
      <sz val="10"/>
      <name val="Times New Roman"/>
      <family val="1"/>
    </font>
    <font>
      <i/>
      <sz val="14"/>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name val="Calibri"/>
      <family val="2"/>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00B0F0"/>
        <bgColor indexed="64"/>
      </patternFill>
    </fill>
    <fill>
      <patternFill patternType="solid">
        <fgColor theme="3" tint="0.7999799847602844"/>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dotted"/>
      <bottom style="dotted"/>
    </border>
    <border>
      <left style="thin"/>
      <right style="thin"/>
      <top style="thin"/>
      <bottom style="dotted"/>
    </border>
    <border>
      <left style="thin"/>
      <right style="thin"/>
      <top style="thin"/>
      <bottom>
        <color indexed="63"/>
      </bottom>
    </border>
    <border>
      <left style="thin"/>
      <right style="thin"/>
      <top>
        <color indexed="63"/>
      </top>
      <bottom style="thin"/>
    </border>
    <border>
      <left style="thin"/>
      <right style="thin"/>
      <top>
        <color indexed="63"/>
      </top>
      <bottom style="dotted"/>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0" borderId="0">
      <alignment/>
      <protection/>
    </xf>
    <xf numFmtId="0" fontId="37" fillId="26" borderId="0" applyNumberFormat="0" applyBorder="0" applyAlignment="0" applyProtection="0"/>
    <xf numFmtId="0" fontId="3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5">
    <xf numFmtId="0" fontId="0" fillId="0" borderId="0" xfId="0" applyFont="1" applyAlignment="1">
      <alignment/>
    </xf>
    <xf numFmtId="185" fontId="4" fillId="33" borderId="0" xfId="42" applyNumberFormat="1" applyFont="1" applyFill="1" applyAlignment="1">
      <alignment horizontal="right" vertical="center"/>
    </xf>
    <xf numFmtId="185" fontId="7" fillId="33" borderId="10" xfId="42" applyNumberFormat="1" applyFont="1" applyFill="1" applyBorder="1" applyAlignment="1">
      <alignment horizontal="right" vertical="center" wrapText="1"/>
    </xf>
    <xf numFmtId="185" fontId="5" fillId="33" borderId="10" xfId="42" applyNumberFormat="1" applyFont="1" applyFill="1" applyBorder="1" applyAlignment="1">
      <alignment horizontal="right" vertical="center" wrapText="1"/>
    </xf>
    <xf numFmtId="185" fontId="9" fillId="33" borderId="0" xfId="42" applyNumberFormat="1" applyFont="1" applyFill="1" applyAlignment="1">
      <alignment horizontal="right" vertical="center"/>
    </xf>
    <xf numFmtId="185" fontId="9" fillId="33" borderId="0" xfId="42" applyNumberFormat="1" applyFont="1" applyFill="1" applyAlignment="1">
      <alignment vertical="center"/>
    </xf>
    <xf numFmtId="0" fontId="9" fillId="33" borderId="0" xfId="0" applyFont="1" applyFill="1" applyAlignment="1">
      <alignment vertical="center" wrapText="1"/>
    </xf>
    <xf numFmtId="0" fontId="12" fillId="33" borderId="0" xfId="0" applyFont="1"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186" fontId="9" fillId="33" borderId="0" xfId="0" applyNumberFormat="1" applyFont="1" applyFill="1" applyAlignment="1">
      <alignment horizontal="center" vertical="center"/>
    </xf>
    <xf numFmtId="43" fontId="9" fillId="33" borderId="0" xfId="42" applyNumberFormat="1" applyFont="1" applyFill="1" applyAlignment="1">
      <alignment horizontal="right" vertical="center"/>
    </xf>
    <xf numFmtId="43" fontId="9" fillId="33" borderId="0" xfId="42" applyFont="1" applyFill="1" applyAlignment="1">
      <alignment horizontal="right" vertical="center"/>
    </xf>
    <xf numFmtId="186" fontId="9" fillId="33" borderId="0" xfId="42" applyNumberFormat="1" applyFont="1" applyFill="1" applyAlignment="1">
      <alignment horizontal="right" vertical="center"/>
    </xf>
    <xf numFmtId="185" fontId="14" fillId="33" borderId="0" xfId="42" applyNumberFormat="1" applyFont="1" applyFill="1" applyAlignment="1">
      <alignment vertical="center"/>
    </xf>
    <xf numFmtId="44" fontId="4" fillId="33" borderId="0" xfId="46" applyFont="1" applyFill="1" applyAlignment="1">
      <alignment horizontal="right"/>
    </xf>
    <xf numFmtId="2" fontId="4" fillId="33" borderId="0" xfId="42" applyNumberFormat="1" applyFont="1" applyFill="1" applyAlignment="1">
      <alignment horizontal="right" vertical="center"/>
    </xf>
    <xf numFmtId="189" fontId="9" fillId="33" borderId="0" xfId="0" applyNumberFormat="1" applyFont="1" applyFill="1" applyAlignment="1">
      <alignment vertical="center" wrapText="1"/>
    </xf>
    <xf numFmtId="0" fontId="12" fillId="33" borderId="0" xfId="0" applyFont="1" applyFill="1" applyAlignment="1">
      <alignment vertical="center"/>
    </xf>
    <xf numFmtId="0" fontId="14" fillId="33" borderId="0" xfId="0" applyFont="1" applyFill="1" applyAlignment="1">
      <alignment vertical="center"/>
    </xf>
    <xf numFmtId="0" fontId="16" fillId="33" borderId="0" xfId="0" applyFont="1" applyFill="1" applyAlignment="1">
      <alignment vertical="center"/>
    </xf>
    <xf numFmtId="0" fontId="16" fillId="33" borderId="0" xfId="0" applyFont="1" applyFill="1" applyAlignment="1">
      <alignment horizontal="center" vertical="center"/>
    </xf>
    <xf numFmtId="185" fontId="16" fillId="33" borderId="11" xfId="42" applyNumberFormat="1" applyFont="1" applyFill="1" applyBorder="1" applyAlignment="1">
      <alignment vertical="center"/>
    </xf>
    <xf numFmtId="185" fontId="6" fillId="33" borderId="10" xfId="42"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85" fontId="16" fillId="33" borderId="10" xfId="42" applyNumberFormat="1" applyFont="1" applyFill="1" applyBorder="1" applyAlignment="1">
      <alignment horizontal="center" vertical="center" wrapText="1"/>
    </xf>
    <xf numFmtId="185" fontId="9" fillId="33" borderId="0" xfId="0" applyNumberFormat="1" applyFont="1" applyFill="1" applyAlignment="1">
      <alignmen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43" fontId="8" fillId="33" borderId="10" xfId="42" applyNumberFormat="1" applyFont="1" applyFill="1" applyBorder="1" applyAlignment="1">
      <alignment horizontal="right" vertical="center" wrapText="1"/>
    </xf>
    <xf numFmtId="0" fontId="5" fillId="33" borderId="10" xfId="0" applyFont="1" applyFill="1" applyBorder="1" applyAlignment="1">
      <alignment vertical="center" wrapText="1"/>
    </xf>
    <xf numFmtId="185" fontId="12" fillId="33" borderId="12" xfId="42" applyNumberFormat="1" applyFont="1" applyFill="1" applyBorder="1" applyAlignment="1">
      <alignment horizontal="right" vertical="center" wrapText="1"/>
    </xf>
    <xf numFmtId="185" fontId="12" fillId="33" borderId="13" xfId="42" applyNumberFormat="1" applyFont="1" applyFill="1" applyBorder="1" applyAlignment="1">
      <alignment horizontal="right" vertical="center" wrapText="1"/>
    </xf>
    <xf numFmtId="185" fontId="8" fillId="33" borderId="10" xfId="42" applyNumberFormat="1" applyFont="1" applyFill="1" applyBorder="1" applyAlignment="1">
      <alignment horizontal="center" vertical="center" wrapText="1"/>
    </xf>
    <xf numFmtId="185" fontId="9" fillId="33" borderId="12" xfId="42" applyNumberFormat="1" applyFont="1" applyFill="1" applyBorder="1" applyAlignment="1">
      <alignment horizontal="right" vertical="center" wrapText="1"/>
    </xf>
    <xf numFmtId="0" fontId="9" fillId="33" borderId="0" xfId="0" applyFont="1" applyFill="1" applyAlignment="1">
      <alignment horizontal="center" vertical="center" wrapText="1"/>
    </xf>
    <xf numFmtId="0" fontId="10" fillId="33" borderId="0" xfId="0" applyFont="1" applyFill="1" applyAlignment="1">
      <alignment horizontal="center" vertical="center"/>
    </xf>
    <xf numFmtId="185" fontId="9" fillId="33" borderId="0" xfId="42" applyNumberFormat="1" applyFont="1" applyFill="1" applyBorder="1" applyAlignment="1">
      <alignment horizontal="right" vertical="center" wrapText="1"/>
    </xf>
    <xf numFmtId="185" fontId="12" fillId="33" borderId="0" xfId="42" applyNumberFormat="1" applyFont="1" applyFill="1" applyAlignment="1">
      <alignment vertical="center"/>
    </xf>
    <xf numFmtId="185" fontId="12" fillId="33" borderId="0" xfId="0" applyNumberFormat="1" applyFont="1" applyFill="1" applyAlignment="1">
      <alignment vertical="center"/>
    </xf>
    <xf numFmtId="186" fontId="9" fillId="33" borderId="0" xfId="42" applyNumberFormat="1" applyFont="1" applyFill="1" applyAlignment="1">
      <alignment vertical="center"/>
    </xf>
    <xf numFmtId="0" fontId="12" fillId="33" borderId="0" xfId="0" applyFont="1" applyFill="1" applyAlignment="1">
      <alignment vertical="center" wrapText="1"/>
    </xf>
    <xf numFmtId="0" fontId="8" fillId="33" borderId="10" xfId="0" applyFont="1" applyFill="1" applyBorder="1" applyAlignment="1" quotePrefix="1">
      <alignment horizontal="center" vertical="center" wrapText="1"/>
    </xf>
    <xf numFmtId="185" fontId="9" fillId="33" borderId="13" xfId="42" applyNumberFormat="1" applyFont="1" applyFill="1" applyBorder="1" applyAlignment="1">
      <alignment horizontal="right" vertical="center" wrapText="1"/>
    </xf>
    <xf numFmtId="185" fontId="12" fillId="33" borderId="0" xfId="0" applyNumberFormat="1" applyFont="1" applyFill="1" applyAlignment="1">
      <alignment horizontal="center" vertical="center" wrapText="1"/>
    </xf>
    <xf numFmtId="0" fontId="8" fillId="33" borderId="10" xfId="0" applyFont="1" applyFill="1" applyBorder="1" applyAlignment="1">
      <alignment horizontal="left" vertical="center" wrapText="1"/>
    </xf>
    <xf numFmtId="0" fontId="16" fillId="33" borderId="0" xfId="0" applyFont="1" applyFill="1" applyAlignment="1" quotePrefix="1">
      <alignment horizontal="left" vertical="center" wrapText="1"/>
    </xf>
    <xf numFmtId="0" fontId="16" fillId="33" borderId="0" xfId="0" applyFont="1" applyFill="1" applyAlignment="1">
      <alignment horizontal="center" vertical="center" wrapText="1"/>
    </xf>
    <xf numFmtId="193" fontId="9" fillId="33" borderId="0" xfId="42" applyNumberFormat="1" applyFont="1" applyFill="1" applyAlignment="1">
      <alignment horizontal="center" vertical="center"/>
    </xf>
    <xf numFmtId="185" fontId="9" fillId="33" borderId="0" xfId="0" applyNumberFormat="1" applyFont="1" applyFill="1" applyAlignment="1">
      <alignment horizontal="center" vertical="center"/>
    </xf>
    <xf numFmtId="43" fontId="9" fillId="33" borderId="0" xfId="42" applyFont="1" applyFill="1" applyAlignment="1">
      <alignment vertical="center"/>
    </xf>
    <xf numFmtId="193" fontId="9" fillId="33" borderId="0" xfId="0" applyNumberFormat="1" applyFont="1" applyFill="1" applyAlignment="1">
      <alignment horizontal="center" vertical="center"/>
    </xf>
    <xf numFmtId="202" fontId="9" fillId="33" borderId="0" xfId="0" applyNumberFormat="1" applyFont="1" applyFill="1" applyAlignment="1">
      <alignment horizontal="center" vertical="center"/>
    </xf>
    <xf numFmtId="193" fontId="9" fillId="33" borderId="0" xfId="42" applyNumberFormat="1" applyFont="1" applyFill="1" applyAlignment="1">
      <alignment vertical="center"/>
    </xf>
    <xf numFmtId="195" fontId="9" fillId="33" borderId="0" xfId="42" applyNumberFormat="1" applyFont="1" applyFill="1" applyAlignment="1">
      <alignment horizontal="center" vertical="center"/>
    </xf>
    <xf numFmtId="2" fontId="9" fillId="33" borderId="0" xfId="0" applyNumberFormat="1" applyFont="1" applyFill="1" applyAlignment="1">
      <alignment vertical="center"/>
    </xf>
    <xf numFmtId="195" fontId="9" fillId="33" borderId="0" xfId="0" applyNumberFormat="1" applyFont="1" applyFill="1" applyAlignment="1">
      <alignment horizontal="center" vertical="center"/>
    </xf>
    <xf numFmtId="214" fontId="9" fillId="33" borderId="0" xfId="0" applyNumberFormat="1" applyFont="1" applyFill="1" applyAlignment="1">
      <alignment vertical="center"/>
    </xf>
    <xf numFmtId="185" fontId="8" fillId="33" borderId="10" xfId="42"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lignment vertical="center" wrapText="1"/>
    </xf>
    <xf numFmtId="185" fontId="5" fillId="33" borderId="14" xfId="42" applyNumberFormat="1" applyFont="1" applyFill="1" applyBorder="1" applyAlignment="1">
      <alignment horizontal="right" vertical="center" wrapText="1"/>
    </xf>
    <xf numFmtId="0" fontId="5" fillId="33" borderId="15" xfId="0" applyFont="1" applyFill="1" applyBorder="1" applyAlignment="1">
      <alignment horizontal="center" vertical="center" wrapText="1"/>
    </xf>
    <xf numFmtId="185" fontId="5" fillId="33" borderId="15" xfId="42" applyNumberFormat="1" applyFont="1" applyFill="1" applyBorder="1" applyAlignment="1">
      <alignment horizontal="center" vertical="center" wrapText="1"/>
    </xf>
    <xf numFmtId="185" fontId="5" fillId="33" borderId="15" xfId="42" applyNumberFormat="1" applyFont="1" applyFill="1" applyBorder="1" applyAlignment="1">
      <alignment horizontal="right" vertical="center" wrapText="1"/>
    </xf>
    <xf numFmtId="185" fontId="12" fillId="33" borderId="16" xfId="42" applyNumberFormat="1" applyFont="1" applyFill="1" applyBorder="1" applyAlignment="1">
      <alignment horizontal="right" vertical="center" wrapText="1"/>
    </xf>
    <xf numFmtId="0" fontId="9" fillId="33" borderId="0" xfId="0" applyFont="1" applyFill="1" applyBorder="1" applyAlignment="1">
      <alignment vertical="center" wrapText="1"/>
    </xf>
    <xf numFmtId="0" fontId="5" fillId="33" borderId="10" xfId="0" applyFont="1" applyFill="1" applyBorder="1" applyAlignment="1">
      <alignment horizontal="left" vertical="center" wrapText="1"/>
    </xf>
    <xf numFmtId="0" fontId="8" fillId="33" borderId="14" xfId="0" applyFont="1" applyFill="1" applyBorder="1" applyAlignment="1">
      <alignment vertical="center" wrapText="1"/>
    </xf>
    <xf numFmtId="0" fontId="8" fillId="33" borderId="14" xfId="0" applyFont="1" applyFill="1" applyBorder="1" applyAlignment="1">
      <alignment horizontal="center" vertical="center" wrapText="1"/>
    </xf>
    <xf numFmtId="185" fontId="8" fillId="33" borderId="14" xfId="42" applyNumberFormat="1" applyFont="1" applyFill="1" applyBorder="1" applyAlignment="1">
      <alignment horizontal="right" vertical="center" wrapText="1"/>
    </xf>
    <xf numFmtId="0" fontId="5" fillId="33" borderId="0" xfId="0" applyFont="1" applyFill="1" applyBorder="1" applyAlignment="1">
      <alignment horizontal="center" vertical="center" wrapText="1"/>
    </xf>
    <xf numFmtId="0" fontId="5" fillId="33" borderId="10" xfId="0" applyFont="1" applyFill="1" applyBorder="1" applyAlignment="1" quotePrefix="1">
      <alignment horizontal="center" vertical="center" wrapText="1"/>
    </xf>
    <xf numFmtId="0" fontId="12" fillId="33" borderId="0" xfId="0" applyFont="1" applyFill="1" applyBorder="1" applyAlignment="1">
      <alignment vertical="center" wrapText="1"/>
    </xf>
    <xf numFmtId="3" fontId="8" fillId="33" borderId="10" xfId="42" applyNumberFormat="1" applyFont="1" applyFill="1" applyBorder="1" applyAlignment="1">
      <alignment horizontal="right" vertical="center" wrapText="1"/>
    </xf>
    <xf numFmtId="43" fontId="4" fillId="33" borderId="0" xfId="42" applyFont="1" applyFill="1" applyAlignment="1">
      <alignment horizontal="right" vertical="center"/>
    </xf>
    <xf numFmtId="0" fontId="8" fillId="33" borderId="0" xfId="0" applyFont="1" applyFill="1" applyBorder="1" applyAlignment="1">
      <alignment horizontal="center" vertical="center" wrapText="1"/>
    </xf>
    <xf numFmtId="0" fontId="8" fillId="33" borderId="15" xfId="0" applyFont="1" applyFill="1" applyBorder="1" applyAlignment="1">
      <alignment horizontal="left" vertical="center" wrapText="1"/>
    </xf>
    <xf numFmtId="185" fontId="53" fillId="33" borderId="10" xfId="42" applyNumberFormat="1" applyFont="1" applyFill="1" applyBorder="1" applyAlignment="1">
      <alignment horizontal="right" vertical="center" wrapText="1"/>
    </xf>
    <xf numFmtId="0" fontId="4" fillId="33" borderId="0" xfId="0" applyFont="1" applyFill="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208" fontId="9" fillId="33" borderId="0" xfId="0" applyNumberFormat="1" applyFont="1" applyFill="1" applyAlignment="1">
      <alignment vertical="center"/>
    </xf>
    <xf numFmtId="217" fontId="8" fillId="33" borderId="10" xfId="45" applyNumberFormat="1" applyFont="1" applyFill="1" applyBorder="1" applyAlignment="1" quotePrefix="1">
      <alignment horizontal="center" vertical="center" wrapText="1"/>
    </xf>
    <xf numFmtId="185" fontId="8" fillId="33" borderId="14" xfId="42" applyNumberFormat="1" applyFont="1" applyFill="1" applyBorder="1" applyAlignment="1">
      <alignment horizontal="center" vertical="center" wrapText="1"/>
    </xf>
    <xf numFmtId="217" fontId="8" fillId="33" borderId="14" xfId="45" applyNumberFormat="1" applyFont="1" applyFill="1" applyBorder="1" applyAlignment="1" quotePrefix="1">
      <alignment horizontal="center" vertical="center" wrapText="1"/>
    </xf>
    <xf numFmtId="185" fontId="7" fillId="33" borderId="10" xfId="42" applyNumberFormat="1" applyFont="1" applyFill="1" applyBorder="1" applyAlignment="1">
      <alignment horizontal="center" vertical="center"/>
    </xf>
    <xf numFmtId="184" fontId="4" fillId="33" borderId="0" xfId="42" applyNumberFormat="1" applyFont="1" applyFill="1" applyAlignment="1">
      <alignment horizontal="center" vertical="center"/>
    </xf>
    <xf numFmtId="184" fontId="9" fillId="33" borderId="0" xfId="42" applyNumberFormat="1" applyFont="1" applyFill="1" applyAlignment="1">
      <alignment horizontal="center" vertical="center"/>
    </xf>
    <xf numFmtId="0" fontId="10" fillId="33" borderId="0" xfId="0" applyFont="1" applyFill="1" applyAlignment="1">
      <alignment vertical="center"/>
    </xf>
    <xf numFmtId="185" fontId="8" fillId="33" borderId="0" xfId="0" applyNumberFormat="1" applyFont="1" applyFill="1" applyBorder="1" applyAlignment="1">
      <alignment horizontal="center" vertical="center" wrapText="1"/>
    </xf>
    <xf numFmtId="43" fontId="5" fillId="33" borderId="0" xfId="42" applyFont="1" applyFill="1" applyBorder="1" applyAlignment="1">
      <alignment horizontal="center" vertical="center" wrapText="1"/>
    </xf>
    <xf numFmtId="185" fontId="53" fillId="33" borderId="10" xfId="42" applyNumberFormat="1" applyFont="1" applyFill="1" applyBorder="1" applyAlignment="1">
      <alignment horizontal="center" vertical="center" wrapText="1"/>
    </xf>
    <xf numFmtId="43" fontId="53" fillId="33" borderId="10" xfId="42" applyFont="1" applyFill="1" applyBorder="1" applyAlignment="1">
      <alignment horizontal="center" vertical="center" wrapText="1"/>
    </xf>
    <xf numFmtId="185" fontId="53" fillId="33" borderId="14" xfId="42" applyNumberFormat="1" applyFont="1" applyFill="1" applyBorder="1" applyAlignment="1">
      <alignment horizontal="right" vertical="center" wrapText="1"/>
    </xf>
    <xf numFmtId="217" fontId="8" fillId="33" borderId="10" xfId="42" applyNumberFormat="1" applyFont="1" applyFill="1" applyBorder="1" applyAlignment="1">
      <alignment horizontal="center" vertical="center" wrapText="1"/>
    </xf>
    <xf numFmtId="0" fontId="12" fillId="33" borderId="0" xfId="0" applyFont="1" applyFill="1" applyAlignment="1">
      <alignment horizontal="center" vertical="center" wrapText="1"/>
    </xf>
    <xf numFmtId="0" fontId="8"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vertical="center" wrapText="1"/>
    </xf>
    <xf numFmtId="185" fontId="8" fillId="34" borderId="10" xfId="42" applyNumberFormat="1" applyFont="1" applyFill="1" applyBorder="1" applyAlignment="1">
      <alignment horizontal="right" vertical="center" wrapText="1"/>
    </xf>
    <xf numFmtId="0" fontId="9" fillId="34" borderId="0" xfId="0" applyFont="1" applyFill="1" applyAlignment="1">
      <alignment vertical="center"/>
    </xf>
    <xf numFmtId="0" fontId="8" fillId="34" borderId="0" xfId="0" applyFont="1" applyFill="1" applyAlignment="1">
      <alignment vertical="center"/>
    </xf>
    <xf numFmtId="185" fontId="8" fillId="34" borderId="10" xfId="42" applyNumberFormat="1" applyFont="1" applyFill="1" applyBorder="1" applyAlignment="1">
      <alignment horizontal="center" vertical="center" wrapText="1"/>
    </xf>
    <xf numFmtId="0" fontId="9" fillId="34" borderId="0" xfId="0" applyFont="1" applyFill="1" applyAlignment="1">
      <alignment horizontal="center" vertical="center"/>
    </xf>
    <xf numFmtId="0" fontId="12" fillId="33" borderId="0" xfId="0" applyFont="1" applyFill="1" applyAlignment="1">
      <alignment horizontal="center" vertical="center" wrapText="1"/>
    </xf>
    <xf numFmtId="185" fontId="5" fillId="33" borderId="10" xfId="42" applyNumberFormat="1" applyFont="1" applyFill="1" applyBorder="1" applyAlignment="1">
      <alignment horizontal="center" vertical="center" wrapText="1"/>
    </xf>
    <xf numFmtId="184" fontId="5" fillId="33" borderId="10" xfId="42"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11" fillId="33" borderId="0" xfId="0" applyFont="1" applyFill="1" applyAlignment="1">
      <alignment horizontal="left" vertical="center"/>
    </xf>
    <xf numFmtId="0" fontId="11" fillId="33" borderId="0" xfId="0" applyFont="1" applyFill="1" applyAlignment="1">
      <alignment horizontal="center" vertical="center"/>
    </xf>
    <xf numFmtId="0" fontId="5" fillId="33" borderId="10" xfId="0" applyFont="1" applyFill="1" applyBorder="1" applyAlignment="1">
      <alignment horizontal="center" vertical="center" wrapText="1"/>
    </xf>
    <xf numFmtId="185" fontId="5" fillId="33" borderId="10" xfId="42" applyNumberFormat="1" applyFont="1" applyFill="1" applyBorder="1" applyAlignment="1">
      <alignment horizontal="center" vertical="center" wrapText="1"/>
    </xf>
    <xf numFmtId="0" fontId="9" fillId="35" borderId="0" xfId="0" applyFont="1" applyFill="1" applyAlignment="1">
      <alignment vertical="center"/>
    </xf>
    <xf numFmtId="185" fontId="9" fillId="33" borderId="0" xfId="0" applyNumberFormat="1" applyFont="1" applyFill="1" applyBorder="1" applyAlignment="1">
      <alignment vertical="center" wrapText="1"/>
    </xf>
    <xf numFmtId="185" fontId="9" fillId="34" borderId="0" xfId="0" applyNumberFormat="1" applyFont="1" applyFill="1" applyAlignment="1">
      <alignment vertical="center"/>
    </xf>
    <xf numFmtId="0" fontId="8" fillId="36" borderId="10" xfId="0" applyFont="1" applyFill="1" applyBorder="1" applyAlignment="1">
      <alignment horizontal="center" vertical="center" wrapText="1"/>
    </xf>
    <xf numFmtId="0" fontId="8" fillId="36" borderId="10" xfId="0" applyFont="1" applyFill="1" applyBorder="1" applyAlignment="1">
      <alignment vertical="center" wrapText="1"/>
    </xf>
    <xf numFmtId="185" fontId="8" fillId="36" borderId="10" xfId="42" applyNumberFormat="1" applyFont="1" applyFill="1" applyBorder="1" applyAlignment="1">
      <alignment horizontal="right" vertical="center" wrapText="1"/>
    </xf>
    <xf numFmtId="0" fontId="9" fillId="36" borderId="0" xfId="0" applyFont="1" applyFill="1" applyAlignment="1">
      <alignment vertical="center"/>
    </xf>
    <xf numFmtId="0" fontId="8" fillId="36" borderId="0" xfId="0" applyFont="1" applyFill="1" applyAlignment="1">
      <alignment vertical="center"/>
    </xf>
    <xf numFmtId="185" fontId="8" fillId="36" borderId="0" xfId="0" applyNumberFormat="1" applyFont="1" applyFill="1" applyAlignment="1">
      <alignment vertical="center"/>
    </xf>
    <xf numFmtId="0" fontId="34" fillId="34" borderId="0" xfId="0" applyFont="1" applyFill="1" applyAlignment="1">
      <alignment vertical="center"/>
    </xf>
    <xf numFmtId="185" fontId="8" fillId="34" borderId="0" xfId="0" applyNumberFormat="1" applyFont="1" applyFill="1" applyAlignment="1">
      <alignment vertical="center"/>
    </xf>
    <xf numFmtId="0" fontId="9" fillId="36" borderId="0" xfId="0" applyFont="1" applyFill="1" applyBorder="1" applyAlignment="1">
      <alignment vertical="center" wrapText="1"/>
    </xf>
    <xf numFmtId="185" fontId="8" fillId="33" borderId="0" xfId="0" applyNumberFormat="1" applyFont="1" applyFill="1" applyAlignment="1">
      <alignment vertical="center"/>
    </xf>
    <xf numFmtId="185" fontId="5" fillId="33" borderId="0" xfId="42" applyNumberFormat="1" applyFont="1" applyFill="1" applyBorder="1" applyAlignment="1">
      <alignment horizontal="right" vertical="center" wrapText="1"/>
    </xf>
    <xf numFmtId="185" fontId="5" fillId="33" borderId="10" xfId="42" applyNumberFormat="1" applyFont="1" applyFill="1" applyBorder="1" applyAlignment="1">
      <alignment horizontal="center" vertical="center" wrapText="1"/>
    </xf>
    <xf numFmtId="185" fontId="5" fillId="33" borderId="10" xfId="42" applyNumberFormat="1" applyFont="1" applyFill="1" applyBorder="1" applyAlignment="1">
      <alignment horizontal="center" vertical="center" wrapText="1"/>
    </xf>
    <xf numFmtId="0" fontId="8" fillId="37" borderId="10" xfId="0" applyFont="1" applyFill="1" applyBorder="1" applyAlignment="1" quotePrefix="1">
      <alignment horizontal="center" vertical="center" wrapText="1"/>
    </xf>
    <xf numFmtId="0" fontId="8" fillId="37" borderId="10" xfId="0" applyFont="1" applyFill="1" applyBorder="1" applyAlignment="1">
      <alignment vertical="center" wrapText="1"/>
    </xf>
    <xf numFmtId="0" fontId="8" fillId="37" borderId="10" xfId="0" applyFont="1" applyFill="1" applyBorder="1" applyAlignment="1">
      <alignment horizontal="center" vertical="center" wrapText="1"/>
    </xf>
    <xf numFmtId="185" fontId="8" fillId="37" borderId="10" xfId="42" applyNumberFormat="1" applyFont="1" applyFill="1" applyBorder="1" applyAlignment="1">
      <alignment horizontal="right" vertical="center" wrapText="1"/>
    </xf>
    <xf numFmtId="185" fontId="53" fillId="37" borderId="10" xfId="42" applyNumberFormat="1" applyFont="1" applyFill="1" applyBorder="1" applyAlignment="1">
      <alignment horizontal="right" vertical="center" wrapText="1"/>
    </xf>
    <xf numFmtId="185" fontId="9" fillId="37" borderId="12" xfId="42" applyNumberFormat="1" applyFont="1" applyFill="1" applyBorder="1" applyAlignment="1">
      <alignment horizontal="right" vertical="center" wrapText="1"/>
    </xf>
    <xf numFmtId="185" fontId="9" fillId="37" borderId="13" xfId="42" applyNumberFormat="1" applyFont="1" applyFill="1" applyBorder="1" applyAlignment="1">
      <alignment horizontal="right" vertical="center" wrapText="1"/>
    </xf>
    <xf numFmtId="0" fontId="9" fillId="37" borderId="0" xfId="0" applyFont="1" applyFill="1" applyAlignment="1">
      <alignment vertical="center" wrapText="1"/>
    </xf>
    <xf numFmtId="0" fontId="9" fillId="37" borderId="0" xfId="0" applyFont="1" applyFill="1" applyAlignment="1">
      <alignment vertical="center"/>
    </xf>
    <xf numFmtId="203" fontId="5" fillId="33" borderId="10" xfId="42" applyNumberFormat="1" applyFont="1" applyFill="1" applyBorder="1" applyAlignment="1">
      <alignment horizontal="right" vertical="center" wrapText="1"/>
    </xf>
    <xf numFmtId="203" fontId="5" fillId="33" borderId="10" xfId="42" applyNumberFormat="1" applyFont="1" applyFill="1" applyBorder="1" applyAlignment="1">
      <alignment horizontal="center" vertical="center"/>
    </xf>
    <xf numFmtId="203" fontId="8" fillId="33" borderId="10" xfId="42" applyNumberFormat="1" applyFont="1" applyFill="1" applyBorder="1" applyAlignment="1">
      <alignment horizontal="right" vertical="center" wrapText="1"/>
    </xf>
    <xf numFmtId="203" fontId="8" fillId="33" borderId="10" xfId="42" applyNumberFormat="1" applyFont="1" applyFill="1" applyBorder="1" applyAlignment="1">
      <alignment horizontal="center" vertical="center"/>
    </xf>
    <xf numFmtId="203" fontId="5" fillId="33" borderId="14" xfId="42" applyNumberFormat="1" applyFont="1" applyFill="1" applyBorder="1" applyAlignment="1">
      <alignment horizontal="center" vertical="center"/>
    </xf>
    <xf numFmtId="203" fontId="54" fillId="33" borderId="10" xfId="42" applyNumberFormat="1" applyFont="1" applyFill="1" applyBorder="1" applyAlignment="1">
      <alignment horizontal="center" vertical="center"/>
    </xf>
    <xf numFmtId="203" fontId="8" fillId="34" borderId="10" xfId="42" applyNumberFormat="1" applyFont="1" applyFill="1" applyBorder="1" applyAlignment="1">
      <alignment horizontal="center" vertical="center"/>
    </xf>
    <xf numFmtId="203" fontId="8" fillId="36" borderId="10" xfId="42" applyNumberFormat="1" applyFont="1" applyFill="1" applyBorder="1" applyAlignment="1">
      <alignment horizontal="center" vertical="center"/>
    </xf>
    <xf numFmtId="203" fontId="8" fillId="37" borderId="10" xfId="42" applyNumberFormat="1" applyFont="1" applyFill="1" applyBorder="1" applyAlignment="1">
      <alignment horizontal="center" vertical="center"/>
    </xf>
    <xf numFmtId="203" fontId="5" fillId="33" borderId="15" xfId="42" applyNumberFormat="1" applyFont="1" applyFill="1" applyBorder="1" applyAlignment="1">
      <alignment horizontal="center" vertical="center"/>
    </xf>
    <xf numFmtId="203" fontId="5" fillId="33" borderId="10" xfId="42" applyNumberFormat="1" applyFont="1" applyFill="1" applyBorder="1" applyAlignment="1">
      <alignment vertical="center" wrapText="1"/>
    </xf>
    <xf numFmtId="203" fontId="8" fillId="34" borderId="10" xfId="42" applyNumberFormat="1" applyFont="1" applyFill="1" applyBorder="1" applyAlignment="1">
      <alignment vertical="center" wrapText="1"/>
    </xf>
    <xf numFmtId="185" fontId="8" fillId="38" borderId="10" xfId="42" applyNumberFormat="1" applyFont="1" applyFill="1" applyBorder="1" applyAlignment="1">
      <alignment horizontal="right" vertical="center" wrapText="1"/>
    </xf>
    <xf numFmtId="185" fontId="12" fillId="33" borderId="0" xfId="42" applyNumberFormat="1" applyFont="1" applyFill="1" applyAlignment="1">
      <alignment horizontal="center" vertical="center" wrapText="1"/>
    </xf>
    <xf numFmtId="185" fontId="13" fillId="33" borderId="0" xfId="42" applyNumberFormat="1" applyFont="1" applyFill="1" applyAlignment="1">
      <alignment horizontal="right" vertical="center"/>
    </xf>
    <xf numFmtId="0" fontId="13" fillId="33" borderId="0" xfId="0" applyFont="1" applyFill="1" applyAlignment="1">
      <alignment horizontal="center" vertical="center"/>
    </xf>
    <xf numFmtId="185" fontId="15" fillId="33" borderId="11" xfId="42" applyNumberFormat="1" applyFont="1" applyFill="1" applyBorder="1" applyAlignment="1">
      <alignment horizontal="right" vertical="center"/>
    </xf>
    <xf numFmtId="0" fontId="5" fillId="33" borderId="10" xfId="0" applyFont="1" applyFill="1" applyBorder="1" applyAlignment="1">
      <alignment horizontal="center" vertical="center" wrapText="1"/>
    </xf>
    <xf numFmtId="0" fontId="11" fillId="33" borderId="0" xfId="0" applyFont="1" applyFill="1" applyAlignment="1">
      <alignment horizontal="left" vertical="center"/>
    </xf>
    <xf numFmtId="0" fontId="11" fillId="33" borderId="0" xfId="0" applyFont="1" applyFill="1" applyAlignment="1">
      <alignment horizontal="center" vertical="center"/>
    </xf>
    <xf numFmtId="0" fontId="15" fillId="33" borderId="0" xfId="0" applyFont="1" applyFill="1" applyAlignment="1">
      <alignment horizontal="center" vertical="center"/>
    </xf>
    <xf numFmtId="185" fontId="5" fillId="33" borderId="10" xfId="42" applyNumberFormat="1" applyFont="1" applyFill="1" applyBorder="1" applyAlignment="1">
      <alignment horizontal="center" vertical="center" wrapText="1"/>
    </xf>
    <xf numFmtId="185" fontId="12" fillId="33" borderId="14" xfId="42" applyNumberFormat="1" applyFont="1" applyFill="1" applyBorder="1" applyAlignment="1">
      <alignment horizontal="center" vertical="center" wrapText="1"/>
    </xf>
    <xf numFmtId="185" fontId="12" fillId="33" borderId="17" xfId="42" applyNumberFormat="1" applyFont="1" applyFill="1" applyBorder="1" applyAlignment="1">
      <alignment horizontal="center" vertical="center" wrapText="1"/>
    </xf>
    <xf numFmtId="185" fontId="12" fillId="33" borderId="15" xfId="42" applyNumberFormat="1" applyFont="1" applyFill="1" applyBorder="1" applyAlignment="1">
      <alignment horizontal="center" vertical="center" wrapText="1"/>
    </xf>
    <xf numFmtId="185" fontId="5" fillId="33" borderId="14" xfId="42" applyNumberFormat="1" applyFont="1" applyFill="1" applyBorder="1" applyAlignment="1">
      <alignment horizontal="center" vertical="center" wrapText="1"/>
    </xf>
    <xf numFmtId="185" fontId="5" fillId="33" borderId="15" xfId="42" applyNumberFormat="1" applyFont="1" applyFill="1" applyBorder="1" applyAlignment="1">
      <alignment horizontal="center" vertical="center" wrapText="1"/>
    </xf>
    <xf numFmtId="184" fontId="5" fillId="33" borderId="18" xfId="42" applyNumberFormat="1" applyFont="1" applyFill="1" applyBorder="1" applyAlignment="1">
      <alignment horizontal="center" vertical="center"/>
    </xf>
    <xf numFmtId="184" fontId="5" fillId="33" borderId="19" xfId="42" applyNumberFormat="1" applyFont="1" applyFill="1" applyBorder="1" applyAlignment="1">
      <alignment horizontal="center" vertical="center"/>
    </xf>
    <xf numFmtId="0" fontId="14" fillId="33" borderId="0" xfId="0" applyFont="1" applyFill="1" applyAlignment="1">
      <alignment horizontal="center" vertical="center" wrapText="1"/>
    </xf>
    <xf numFmtId="185" fontId="12" fillId="33" borderId="0" xfId="42" applyNumberFormat="1" applyFont="1" applyFill="1" applyAlignment="1">
      <alignment horizontal="right" vertical="center" wrapText="1"/>
    </xf>
    <xf numFmtId="185" fontId="5" fillId="33" borderId="18" xfId="42" applyNumberFormat="1" applyFont="1" applyFill="1" applyBorder="1" applyAlignment="1">
      <alignment horizontal="center" vertical="center" wrapText="1"/>
    </xf>
    <xf numFmtId="185" fontId="5" fillId="33" borderId="20" xfId="42" applyNumberFormat="1" applyFont="1" applyFill="1" applyBorder="1" applyAlignment="1">
      <alignment horizontal="center" vertical="center" wrapText="1"/>
    </xf>
    <xf numFmtId="185" fontId="5" fillId="33" borderId="19" xfId="42"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2" fillId="33" borderId="0" xfId="0" applyFont="1" applyFill="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omma" xfId="42"/>
    <cellStyle name="Comma [0]" xfId="43"/>
    <cellStyle name="Comma [0] 2 2" xfId="44"/>
    <cellStyle name="Comma 16 3 2 2 2 3" xfId="45"/>
    <cellStyle name="Currency" xfId="46"/>
    <cellStyle name="Currency [0]" xfId="47"/>
    <cellStyle name="Check Cell"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5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A163"/>
  <sheetViews>
    <sheetView tabSelected="1" view="pageBreakPreview" zoomScale="85" zoomScaleNormal="85" zoomScaleSheetLayoutView="85" zoomScalePageLayoutView="0" workbookViewId="0" topLeftCell="A8">
      <pane xSplit="2" ySplit="3" topLeftCell="E30" activePane="bottomRight" state="frozen"/>
      <selection pane="topLeft" activeCell="A8" sqref="A8"/>
      <selection pane="topRight" activeCell="C8" sqref="C8"/>
      <selection pane="bottomLeft" activeCell="A11" sqref="A11"/>
      <selection pane="bottomRight" activeCell="I36" sqref="I36"/>
    </sheetView>
  </sheetViews>
  <sheetFormatPr defaultColWidth="9.140625" defaultRowHeight="15"/>
  <cols>
    <col min="1" max="1" width="6.28125" style="9" customWidth="1"/>
    <col min="2" max="2" width="45.7109375" style="8" customWidth="1"/>
    <col min="3" max="4" width="9.57421875" style="9" customWidth="1"/>
    <col min="5" max="5" width="8.7109375" style="9" customWidth="1"/>
    <col min="6" max="6" width="22.28125" style="9" customWidth="1"/>
    <col min="7" max="9" width="12.28125" style="4" customWidth="1"/>
    <col min="10" max="10" width="13.421875" style="4" hidden="1" customWidth="1"/>
    <col min="11" max="11" width="14.28125" style="4" customWidth="1"/>
    <col min="12" max="12" width="12.28125" style="4" customWidth="1"/>
    <col min="13" max="13" width="13.421875" style="4" customWidth="1"/>
    <col min="14" max="14" width="12.421875" style="4" customWidth="1"/>
    <col min="15" max="15" width="13.00390625" style="4" customWidth="1"/>
    <col min="16" max="20" width="11.7109375" style="4" customWidth="1"/>
    <col min="21" max="21" width="10.140625" style="88" customWidth="1"/>
    <col min="22" max="22" width="11.421875" style="5" hidden="1" customWidth="1"/>
    <col min="23" max="23" width="12.28125" style="5" hidden="1" customWidth="1"/>
    <col min="24" max="24" width="27.57421875" style="6" hidden="1" customWidth="1"/>
    <col min="25" max="25" width="9.28125" style="8" bestFit="1" customWidth="1"/>
    <col min="26" max="26" width="20.8515625" style="8" bestFit="1" customWidth="1"/>
    <col min="27" max="16384" width="9.140625" style="8" customWidth="1"/>
  </cols>
  <sheetData>
    <row r="1" spans="1:21" ht="18.75" hidden="1">
      <c r="A1" s="109" t="s">
        <v>45</v>
      </c>
      <c r="B1" s="109"/>
      <c r="C1" s="109"/>
      <c r="D1" s="109"/>
      <c r="E1" s="109"/>
      <c r="F1" s="109"/>
      <c r="G1" s="1"/>
      <c r="H1" s="1"/>
      <c r="I1" s="1"/>
      <c r="J1" s="1"/>
      <c r="K1" s="1"/>
      <c r="L1" s="1"/>
      <c r="M1" s="1"/>
      <c r="N1" s="1"/>
      <c r="O1" s="1"/>
      <c r="P1" s="1"/>
      <c r="Q1" s="1"/>
      <c r="R1" s="1"/>
      <c r="S1" s="1"/>
      <c r="T1" s="1"/>
      <c r="U1" s="87"/>
    </row>
    <row r="2" spans="1:23" ht="19.5">
      <c r="A2" s="7"/>
      <c r="F2" s="10"/>
      <c r="G2" s="11"/>
      <c r="I2" s="12"/>
      <c r="J2" s="13"/>
      <c r="K2" s="13"/>
      <c r="L2" s="11"/>
      <c r="M2" s="152" t="s">
        <v>79</v>
      </c>
      <c r="N2" s="152"/>
      <c r="O2" s="152"/>
      <c r="P2" s="152"/>
      <c r="Q2" s="152"/>
      <c r="R2" s="152"/>
      <c r="S2" s="152"/>
      <c r="T2" s="152"/>
      <c r="U2" s="152"/>
      <c r="V2" s="14"/>
      <c r="W2" s="14"/>
    </row>
    <row r="3" spans="1:24" s="79" customFormat="1" ht="18.75">
      <c r="A3" s="156" t="s">
        <v>80</v>
      </c>
      <c r="B3" s="156"/>
      <c r="C3" s="156"/>
      <c r="D3" s="156"/>
      <c r="E3" s="156"/>
      <c r="F3" s="110"/>
      <c r="G3" s="1"/>
      <c r="H3" s="15"/>
      <c r="I3" s="1"/>
      <c r="J3" s="1"/>
      <c r="K3" s="13"/>
      <c r="L3" s="1"/>
      <c r="M3" s="16"/>
      <c r="N3" s="1"/>
      <c r="O3" s="75"/>
      <c r="P3" s="1"/>
      <c r="Q3" s="1"/>
      <c r="R3" s="1"/>
      <c r="S3" s="1"/>
      <c r="T3" s="1"/>
      <c r="U3" s="87"/>
      <c r="V3" s="5"/>
      <c r="W3" s="5"/>
      <c r="X3" s="17"/>
    </row>
    <row r="4" spans="1:23" ht="20.25" customHeight="1">
      <c r="A4" s="157" t="s">
        <v>53</v>
      </c>
      <c r="B4" s="157"/>
      <c r="C4" s="157"/>
      <c r="D4" s="157"/>
      <c r="E4" s="157"/>
      <c r="F4" s="157"/>
      <c r="G4" s="157"/>
      <c r="H4" s="157"/>
      <c r="I4" s="157"/>
      <c r="J4" s="157"/>
      <c r="K4" s="157"/>
      <c r="L4" s="157"/>
      <c r="M4" s="157"/>
      <c r="N4" s="157"/>
      <c r="O4" s="157"/>
      <c r="P4" s="157"/>
      <c r="Q4" s="157"/>
      <c r="R4" s="157"/>
      <c r="S4" s="157"/>
      <c r="T4" s="157"/>
      <c r="U4" s="157"/>
      <c r="V4" s="18"/>
      <c r="W4" s="18"/>
    </row>
    <row r="5" spans="1:23" ht="16.5" customHeight="1">
      <c r="A5" s="153" t="s">
        <v>260</v>
      </c>
      <c r="B5" s="153"/>
      <c r="C5" s="153"/>
      <c r="D5" s="153"/>
      <c r="E5" s="153"/>
      <c r="F5" s="153"/>
      <c r="G5" s="153"/>
      <c r="H5" s="153"/>
      <c r="I5" s="153"/>
      <c r="J5" s="153"/>
      <c r="K5" s="153"/>
      <c r="L5" s="153"/>
      <c r="M5" s="153"/>
      <c r="N5" s="153"/>
      <c r="O5" s="153"/>
      <c r="P5" s="153"/>
      <c r="Q5" s="153"/>
      <c r="R5" s="153"/>
      <c r="S5" s="153"/>
      <c r="T5" s="153"/>
      <c r="U5" s="153"/>
      <c r="V5" s="19"/>
      <c r="W5" s="19"/>
    </row>
    <row r="6" spans="1:23" ht="18.75" hidden="1">
      <c r="A6" s="158" t="s">
        <v>93</v>
      </c>
      <c r="B6" s="158"/>
      <c r="C6" s="158"/>
      <c r="D6" s="158"/>
      <c r="E6" s="158"/>
      <c r="F6" s="158"/>
      <c r="G6" s="158"/>
      <c r="H6" s="158"/>
      <c r="I6" s="158"/>
      <c r="J6" s="158"/>
      <c r="K6" s="158"/>
      <c r="L6" s="158"/>
      <c r="M6" s="158"/>
      <c r="N6" s="158"/>
      <c r="O6" s="158"/>
      <c r="P6" s="158"/>
      <c r="Q6" s="158"/>
      <c r="R6" s="158"/>
      <c r="S6" s="158"/>
      <c r="T6" s="158"/>
      <c r="U6" s="158"/>
      <c r="V6" s="20"/>
      <c r="W6" s="20"/>
    </row>
    <row r="7" spans="1:23" ht="18.75">
      <c r="A7" s="21"/>
      <c r="L7" s="154" t="s">
        <v>0</v>
      </c>
      <c r="M7" s="154"/>
      <c r="N7" s="154"/>
      <c r="O7" s="154"/>
      <c r="P7" s="154"/>
      <c r="Q7" s="154"/>
      <c r="R7" s="154"/>
      <c r="S7" s="154"/>
      <c r="T7" s="154"/>
      <c r="U7" s="154"/>
      <c r="V7" s="22"/>
      <c r="W7" s="22"/>
    </row>
    <row r="8" spans="1:23" ht="48.75" customHeight="1">
      <c r="A8" s="155" t="s">
        <v>1</v>
      </c>
      <c r="B8" s="155" t="s">
        <v>2</v>
      </c>
      <c r="C8" s="155" t="s">
        <v>3</v>
      </c>
      <c r="D8" s="155" t="s">
        <v>4</v>
      </c>
      <c r="E8" s="155" t="s">
        <v>5</v>
      </c>
      <c r="F8" s="155" t="s">
        <v>6</v>
      </c>
      <c r="G8" s="155"/>
      <c r="H8" s="155"/>
      <c r="I8" s="159" t="s">
        <v>25</v>
      </c>
      <c r="J8" s="159" t="s">
        <v>7</v>
      </c>
      <c r="K8" s="159" t="s">
        <v>99</v>
      </c>
      <c r="L8" s="159"/>
      <c r="M8" s="159"/>
      <c r="N8" s="159" t="s">
        <v>261</v>
      </c>
      <c r="O8" s="159"/>
      <c r="P8" s="159"/>
      <c r="Q8" s="169" t="s">
        <v>265</v>
      </c>
      <c r="R8" s="170"/>
      <c r="S8" s="171"/>
      <c r="T8" s="165" t="s">
        <v>51</v>
      </c>
      <c r="U8" s="166"/>
      <c r="V8" s="160" t="s">
        <v>49</v>
      </c>
      <c r="W8" s="160" t="s">
        <v>50</v>
      </c>
    </row>
    <row r="9" spans="1:23" ht="20.25" customHeight="1">
      <c r="A9" s="155"/>
      <c r="B9" s="155"/>
      <c r="C9" s="155"/>
      <c r="D9" s="155"/>
      <c r="E9" s="155"/>
      <c r="F9" s="155" t="s">
        <v>8</v>
      </c>
      <c r="G9" s="159" t="s">
        <v>9</v>
      </c>
      <c r="H9" s="159"/>
      <c r="I9" s="159"/>
      <c r="J9" s="159"/>
      <c r="K9" s="159" t="s">
        <v>10</v>
      </c>
      <c r="L9" s="159" t="s">
        <v>11</v>
      </c>
      <c r="M9" s="159"/>
      <c r="N9" s="159" t="s">
        <v>10</v>
      </c>
      <c r="O9" s="159" t="s">
        <v>11</v>
      </c>
      <c r="P9" s="159"/>
      <c r="Q9" s="159" t="s">
        <v>10</v>
      </c>
      <c r="R9" s="159" t="s">
        <v>11</v>
      </c>
      <c r="S9" s="159"/>
      <c r="T9" s="163" t="s">
        <v>267</v>
      </c>
      <c r="U9" s="163" t="s">
        <v>266</v>
      </c>
      <c r="V9" s="161"/>
      <c r="W9" s="161"/>
    </row>
    <row r="10" spans="1:23" ht="71.25" customHeight="1">
      <c r="A10" s="155"/>
      <c r="B10" s="155"/>
      <c r="C10" s="155"/>
      <c r="D10" s="155"/>
      <c r="E10" s="155"/>
      <c r="F10" s="155"/>
      <c r="G10" s="106" t="s">
        <v>12</v>
      </c>
      <c r="H10" s="23" t="s">
        <v>13</v>
      </c>
      <c r="I10" s="159"/>
      <c r="J10" s="159"/>
      <c r="K10" s="159"/>
      <c r="L10" s="106" t="s">
        <v>14</v>
      </c>
      <c r="M10" s="106" t="s">
        <v>100</v>
      </c>
      <c r="N10" s="159"/>
      <c r="O10" s="127" t="s">
        <v>15</v>
      </c>
      <c r="P10" s="127" t="s">
        <v>16</v>
      </c>
      <c r="Q10" s="159"/>
      <c r="R10" s="128" t="s">
        <v>15</v>
      </c>
      <c r="S10" s="128" t="s">
        <v>16</v>
      </c>
      <c r="T10" s="164"/>
      <c r="U10" s="164"/>
      <c r="V10" s="162"/>
      <c r="W10" s="162"/>
    </row>
    <row r="11" spans="1:23" ht="33" customHeight="1" hidden="1">
      <c r="A11" s="24">
        <v>1</v>
      </c>
      <c r="B11" s="24">
        <v>2</v>
      </c>
      <c r="C11" s="24">
        <v>3</v>
      </c>
      <c r="D11" s="24">
        <v>4</v>
      </c>
      <c r="E11" s="24">
        <v>5</v>
      </c>
      <c r="F11" s="24">
        <v>6</v>
      </c>
      <c r="G11" s="2">
        <v>7</v>
      </c>
      <c r="H11" s="2">
        <v>8</v>
      </c>
      <c r="I11" s="2">
        <v>9</v>
      </c>
      <c r="J11" s="2">
        <v>10</v>
      </c>
      <c r="K11" s="2" t="s">
        <v>184</v>
      </c>
      <c r="L11" s="2">
        <v>11</v>
      </c>
      <c r="M11" s="2">
        <v>12</v>
      </c>
      <c r="N11" s="2" t="s">
        <v>185</v>
      </c>
      <c r="O11" s="2">
        <v>14</v>
      </c>
      <c r="P11" s="2">
        <v>15</v>
      </c>
      <c r="Q11" s="2"/>
      <c r="R11" s="2"/>
      <c r="S11" s="2"/>
      <c r="T11" s="2"/>
      <c r="U11" s="86">
        <v>16</v>
      </c>
      <c r="V11" s="25"/>
      <c r="W11" s="25"/>
    </row>
    <row r="12" spans="1:24" s="80" customFormat="1" ht="17.25" customHeight="1" hidden="1">
      <c r="A12" s="108"/>
      <c r="B12" s="108" t="s">
        <v>17</v>
      </c>
      <c r="C12" s="108"/>
      <c r="D12" s="108"/>
      <c r="E12" s="108"/>
      <c r="F12" s="108"/>
      <c r="G12" s="3">
        <f>G13</f>
        <v>895436.9984909999</v>
      </c>
      <c r="H12" s="3">
        <f aca="true" t="shared" si="0" ref="H12:P12">H13</f>
        <v>865698.5736519999</v>
      </c>
      <c r="I12" s="3">
        <f t="shared" si="0"/>
        <v>695678.498499</v>
      </c>
      <c r="J12" s="3">
        <f t="shared" si="0"/>
        <v>20250.820983</v>
      </c>
      <c r="K12" s="3">
        <f t="shared" si="0"/>
        <v>202014.165417</v>
      </c>
      <c r="L12" s="3">
        <f t="shared" si="0"/>
        <v>46828.926449</v>
      </c>
      <c r="M12" s="3">
        <f t="shared" si="0"/>
        <v>155185.238968</v>
      </c>
      <c r="N12" s="3">
        <f t="shared" si="0"/>
        <v>150685.12270500005</v>
      </c>
      <c r="O12" s="3">
        <f t="shared" si="0"/>
        <v>34599.742276</v>
      </c>
      <c r="P12" s="3">
        <f t="shared" si="0"/>
        <v>116085.380429</v>
      </c>
      <c r="Q12" s="3"/>
      <c r="R12" s="3"/>
      <c r="S12" s="3"/>
      <c r="T12" s="3"/>
      <c r="U12" s="107">
        <f aca="true" t="shared" si="1" ref="U12:U53">N12/K12*100</f>
        <v>74.59136461740395</v>
      </c>
      <c r="V12" s="18"/>
      <c r="W12" s="18"/>
      <c r="X12" s="18"/>
    </row>
    <row r="13" spans="1:24" s="80" customFormat="1" ht="21.75" customHeight="1">
      <c r="A13" s="172" t="s">
        <v>18</v>
      </c>
      <c r="B13" s="173"/>
      <c r="C13" s="108"/>
      <c r="D13" s="108"/>
      <c r="E13" s="108"/>
      <c r="F13" s="108"/>
      <c r="G13" s="3">
        <f>G14+G30</f>
        <v>895436.9984909999</v>
      </c>
      <c r="H13" s="3">
        <f aca="true" t="shared" si="2" ref="H13:P13">H14+H30</f>
        <v>865698.5736519999</v>
      </c>
      <c r="I13" s="3">
        <f t="shared" si="2"/>
        <v>695678.498499</v>
      </c>
      <c r="J13" s="3">
        <f t="shared" si="2"/>
        <v>20250.820983</v>
      </c>
      <c r="K13" s="3">
        <f t="shared" si="2"/>
        <v>202014.165417</v>
      </c>
      <c r="L13" s="3">
        <f t="shared" si="2"/>
        <v>46828.926449</v>
      </c>
      <c r="M13" s="3">
        <f t="shared" si="2"/>
        <v>155185.238968</v>
      </c>
      <c r="N13" s="3">
        <f t="shared" si="2"/>
        <v>150685.12270500005</v>
      </c>
      <c r="O13" s="3">
        <f t="shared" si="2"/>
        <v>34599.742276</v>
      </c>
      <c r="P13" s="3">
        <f t="shared" si="2"/>
        <v>116085.380429</v>
      </c>
      <c r="Q13" s="3">
        <f>Q14+Q30</f>
        <v>200155.10292600002</v>
      </c>
      <c r="R13" s="3">
        <f>R14+R30</f>
        <v>45630.450958</v>
      </c>
      <c r="S13" s="3">
        <f>S14+S30</f>
        <v>154524.651968</v>
      </c>
      <c r="T13" s="138">
        <f>Q13/K13*100</f>
        <v>99.07973656839238</v>
      </c>
      <c r="U13" s="139">
        <f t="shared" si="1"/>
        <v>74.59136461740395</v>
      </c>
      <c r="V13" s="18"/>
      <c r="W13" s="18"/>
      <c r="X13" s="18"/>
    </row>
    <row r="14" spans="1:24" s="80" customFormat="1" ht="17.25" customHeight="1">
      <c r="A14" s="108" t="s">
        <v>20</v>
      </c>
      <c r="B14" s="108" t="s">
        <v>76</v>
      </c>
      <c r="C14" s="108"/>
      <c r="D14" s="108"/>
      <c r="E14" s="108"/>
      <c r="F14" s="108"/>
      <c r="G14" s="3">
        <f aca="true" t="shared" si="3" ref="G14:P14">G15+G18+G26+G28</f>
        <v>415626.377</v>
      </c>
      <c r="H14" s="3">
        <f t="shared" si="3"/>
        <v>392988.80700000003</v>
      </c>
      <c r="I14" s="3">
        <f t="shared" si="3"/>
        <v>390663.875</v>
      </c>
      <c r="J14" s="3">
        <f t="shared" si="3"/>
        <v>16976.095674</v>
      </c>
      <c r="K14" s="3">
        <f t="shared" si="3"/>
        <v>82674.875507</v>
      </c>
      <c r="L14" s="3">
        <f t="shared" si="3"/>
        <v>8948.875506999999</v>
      </c>
      <c r="M14" s="3">
        <f t="shared" si="3"/>
        <v>73726</v>
      </c>
      <c r="N14" s="3">
        <f t="shared" si="3"/>
        <v>72321.42319400002</v>
      </c>
      <c r="O14" s="3">
        <f t="shared" si="3"/>
        <v>4626.156709999999</v>
      </c>
      <c r="P14" s="3">
        <f t="shared" si="3"/>
        <v>67695.26648399999</v>
      </c>
      <c r="Q14" s="3">
        <f>Q15+Q18+Q26+Q28</f>
        <v>82674.875507</v>
      </c>
      <c r="R14" s="3">
        <f>R15+R18+R26+R28</f>
        <v>8948.875506999999</v>
      </c>
      <c r="S14" s="3">
        <f>S15+S18+S26+S28</f>
        <v>73726</v>
      </c>
      <c r="T14" s="138">
        <f aca="true" t="shared" si="4" ref="T14:T77">Q14/K14*100</f>
        <v>100</v>
      </c>
      <c r="U14" s="139">
        <f t="shared" si="1"/>
        <v>87.4769060739337</v>
      </c>
      <c r="V14" s="18"/>
      <c r="W14" s="18"/>
      <c r="X14" s="18"/>
    </row>
    <row r="15" spans="1:24" s="81" customFormat="1" ht="33" customHeight="1">
      <c r="A15" s="108" t="s">
        <v>21</v>
      </c>
      <c r="B15" s="108" t="s">
        <v>22</v>
      </c>
      <c r="C15" s="108"/>
      <c r="D15" s="108"/>
      <c r="E15" s="108"/>
      <c r="F15" s="108"/>
      <c r="G15" s="3">
        <f>SUM(G16:G17)</f>
        <v>195662.682</v>
      </c>
      <c r="H15" s="3">
        <f aca="true" t="shared" si="5" ref="H15:P15">SUM(H16:H17)</f>
        <v>195662.682</v>
      </c>
      <c r="I15" s="3">
        <f t="shared" si="5"/>
        <v>195662.682</v>
      </c>
      <c r="J15" s="3">
        <f t="shared" si="5"/>
        <v>0</v>
      </c>
      <c r="K15" s="3">
        <f t="shared" si="5"/>
        <v>21649</v>
      </c>
      <c r="L15" s="3">
        <f t="shared" si="5"/>
        <v>0</v>
      </c>
      <c r="M15" s="3">
        <f t="shared" si="5"/>
        <v>21649</v>
      </c>
      <c r="N15" s="3">
        <f t="shared" si="5"/>
        <v>21649</v>
      </c>
      <c r="O15" s="3">
        <f t="shared" si="5"/>
        <v>0</v>
      </c>
      <c r="P15" s="3">
        <f t="shared" si="5"/>
        <v>21649</v>
      </c>
      <c r="Q15" s="3">
        <f>SUM(Q16:Q17)</f>
        <v>21649</v>
      </c>
      <c r="R15" s="3">
        <f>SUM(R16:R17)</f>
        <v>0</v>
      </c>
      <c r="S15" s="3">
        <f>SUM(S16:S17)</f>
        <v>21649</v>
      </c>
      <c r="T15" s="138">
        <f t="shared" si="4"/>
        <v>100</v>
      </c>
      <c r="U15" s="139">
        <f t="shared" si="1"/>
        <v>100</v>
      </c>
      <c r="V15" s="8"/>
      <c r="W15" s="8"/>
      <c r="X15" s="26">
        <f>21460.951925-N30</f>
        <v>-56902.74758600001</v>
      </c>
    </row>
    <row r="16" spans="1:24" s="81" customFormat="1" ht="33.75" customHeight="1">
      <c r="A16" s="27" t="s">
        <v>23</v>
      </c>
      <c r="B16" s="28" t="s">
        <v>89</v>
      </c>
      <c r="C16" s="27" t="s">
        <v>24</v>
      </c>
      <c r="D16" s="27">
        <v>7551363</v>
      </c>
      <c r="E16" s="27" t="s">
        <v>46</v>
      </c>
      <c r="F16" s="33" t="s">
        <v>90</v>
      </c>
      <c r="G16" s="58">
        <f>H16</f>
        <v>97628.9</v>
      </c>
      <c r="H16" s="58">
        <v>97628.9</v>
      </c>
      <c r="I16" s="58">
        <f>H16</f>
        <v>97628.9</v>
      </c>
      <c r="J16" s="58"/>
      <c r="K16" s="58">
        <f>L16+M16</f>
        <v>11649</v>
      </c>
      <c r="L16" s="29">
        <v>0</v>
      </c>
      <c r="M16" s="58">
        <v>11649</v>
      </c>
      <c r="N16" s="78">
        <f>O16+P16</f>
        <v>11649</v>
      </c>
      <c r="O16" s="78">
        <v>0</v>
      </c>
      <c r="P16" s="78">
        <v>11649</v>
      </c>
      <c r="Q16" s="58">
        <f>R16+S16</f>
        <v>11649</v>
      </c>
      <c r="R16" s="29">
        <v>0</v>
      </c>
      <c r="S16" s="58">
        <v>11649</v>
      </c>
      <c r="T16" s="140">
        <f t="shared" si="4"/>
        <v>100</v>
      </c>
      <c r="U16" s="141">
        <f t="shared" si="1"/>
        <v>100</v>
      </c>
      <c r="V16" s="8"/>
      <c r="W16" s="8"/>
      <c r="X16" s="8"/>
    </row>
    <row r="17" spans="1:24" s="81" customFormat="1" ht="54.75" customHeight="1">
      <c r="A17" s="27" t="s">
        <v>23</v>
      </c>
      <c r="B17" s="28" t="s">
        <v>26</v>
      </c>
      <c r="C17" s="27" t="s">
        <v>24</v>
      </c>
      <c r="D17" s="27">
        <v>7551368</v>
      </c>
      <c r="E17" s="27" t="s">
        <v>46</v>
      </c>
      <c r="F17" s="27" t="s">
        <v>27</v>
      </c>
      <c r="G17" s="58">
        <v>98033.782</v>
      </c>
      <c r="H17" s="58">
        <v>98033.782</v>
      </c>
      <c r="I17" s="58">
        <v>98033.782</v>
      </c>
      <c r="J17" s="58"/>
      <c r="K17" s="58">
        <f>SUM(L17:M17)</f>
        <v>10000</v>
      </c>
      <c r="L17" s="58">
        <v>0</v>
      </c>
      <c r="M17" s="58">
        <v>10000</v>
      </c>
      <c r="N17" s="78">
        <f>SUM(O17:P17)</f>
        <v>10000</v>
      </c>
      <c r="O17" s="78">
        <v>0</v>
      </c>
      <c r="P17" s="78">
        <v>10000</v>
      </c>
      <c r="Q17" s="58">
        <f>SUM(R17:S17)</f>
        <v>10000</v>
      </c>
      <c r="R17" s="58">
        <v>0</v>
      </c>
      <c r="S17" s="58">
        <v>10000</v>
      </c>
      <c r="T17" s="140">
        <f t="shared" si="4"/>
        <v>100</v>
      </c>
      <c r="U17" s="141">
        <f t="shared" si="1"/>
        <v>100</v>
      </c>
      <c r="V17" s="8"/>
      <c r="W17" s="8"/>
      <c r="X17" s="8"/>
    </row>
    <row r="18" spans="1:24" s="7" customFormat="1" ht="19.5" customHeight="1">
      <c r="A18" s="108" t="s">
        <v>132</v>
      </c>
      <c r="B18" s="108" t="s">
        <v>52</v>
      </c>
      <c r="C18" s="108"/>
      <c r="D18" s="108"/>
      <c r="E18" s="108"/>
      <c r="F18" s="106"/>
      <c r="G18" s="3">
        <f>SUM(G19:G25)</f>
        <v>80054.913</v>
      </c>
      <c r="H18" s="3">
        <f aca="true" t="shared" si="6" ref="H18:P18">SUM(H19:H25)</f>
        <v>74479.343</v>
      </c>
      <c r="I18" s="3">
        <f t="shared" si="6"/>
        <v>68387.411</v>
      </c>
      <c r="J18" s="3">
        <f t="shared" si="6"/>
        <v>0</v>
      </c>
      <c r="K18" s="3">
        <f t="shared" si="6"/>
        <v>40545.971181</v>
      </c>
      <c r="L18" s="3">
        <f t="shared" si="6"/>
        <v>3468.971181</v>
      </c>
      <c r="M18" s="3">
        <f t="shared" si="6"/>
        <v>37077</v>
      </c>
      <c r="N18" s="3">
        <f>SUM(N19:N25)</f>
        <v>34166.031194</v>
      </c>
      <c r="O18" s="3">
        <f t="shared" si="6"/>
        <v>3119.7647099999995</v>
      </c>
      <c r="P18" s="3">
        <f t="shared" si="6"/>
        <v>31046.266483999996</v>
      </c>
      <c r="Q18" s="3">
        <f>SUM(Q19:Q25)</f>
        <v>40545.971181</v>
      </c>
      <c r="R18" s="3">
        <f>SUM(R19:R25)</f>
        <v>3468.971181</v>
      </c>
      <c r="S18" s="3">
        <f>SUM(S19:S25)</f>
        <v>37077</v>
      </c>
      <c r="T18" s="138">
        <f t="shared" si="4"/>
        <v>100</v>
      </c>
      <c r="U18" s="139">
        <f t="shared" si="1"/>
        <v>84.26492250359597</v>
      </c>
      <c r="V18" s="31"/>
      <c r="W18" s="32"/>
      <c r="X18" s="105"/>
    </row>
    <row r="19" spans="1:24" s="36" customFormat="1" ht="30.75" customHeight="1">
      <c r="A19" s="83" t="s">
        <v>23</v>
      </c>
      <c r="B19" s="28" t="s">
        <v>81</v>
      </c>
      <c r="C19" s="27" t="s">
        <v>28</v>
      </c>
      <c r="D19" s="97">
        <v>7770339</v>
      </c>
      <c r="E19" s="27" t="s">
        <v>33</v>
      </c>
      <c r="F19" s="33" t="s">
        <v>86</v>
      </c>
      <c r="G19" s="58">
        <v>14974.927</v>
      </c>
      <c r="H19" s="58">
        <v>14007</v>
      </c>
      <c r="I19" s="58">
        <v>14975</v>
      </c>
      <c r="J19" s="58"/>
      <c r="K19" s="58">
        <f aca="true" t="shared" si="7" ref="K19:K25">+L19+M19</f>
        <v>11349</v>
      </c>
      <c r="L19" s="58"/>
      <c r="M19" s="58">
        <v>11349</v>
      </c>
      <c r="N19" s="78">
        <f>O19+P19</f>
        <v>10694.830059999998</v>
      </c>
      <c r="O19" s="78"/>
      <c r="P19" s="78">
        <v>10694.830059999998</v>
      </c>
      <c r="Q19" s="58">
        <f aca="true" t="shared" si="8" ref="Q19:Q25">+R19+S19</f>
        <v>11349</v>
      </c>
      <c r="R19" s="58"/>
      <c r="S19" s="58">
        <v>11349</v>
      </c>
      <c r="T19" s="140">
        <f t="shared" si="4"/>
        <v>100</v>
      </c>
      <c r="U19" s="141">
        <f t="shared" si="1"/>
        <v>94.23588034188033</v>
      </c>
      <c r="V19" s="37"/>
      <c r="W19" s="37"/>
      <c r="X19" s="35"/>
    </row>
    <row r="20" spans="1:24" s="36" customFormat="1" ht="48.75" customHeight="1">
      <c r="A20" s="83" t="s">
        <v>23</v>
      </c>
      <c r="B20" s="28" t="s">
        <v>82</v>
      </c>
      <c r="C20" s="27" t="s">
        <v>28</v>
      </c>
      <c r="D20" s="97" t="s">
        <v>85</v>
      </c>
      <c r="E20" s="27" t="s">
        <v>33</v>
      </c>
      <c r="F20" s="33" t="s">
        <v>87</v>
      </c>
      <c r="G20" s="58">
        <v>14949.905</v>
      </c>
      <c r="H20" s="58">
        <v>13942</v>
      </c>
      <c r="I20" s="58">
        <v>14949.903</v>
      </c>
      <c r="J20" s="58"/>
      <c r="K20" s="58">
        <f t="shared" si="7"/>
        <v>11147</v>
      </c>
      <c r="L20" s="58"/>
      <c r="M20" s="58">
        <v>11147</v>
      </c>
      <c r="N20" s="78">
        <f aca="true" t="shared" si="9" ref="N20:N25">O20+P20</f>
        <v>11023.664999999999</v>
      </c>
      <c r="O20" s="78"/>
      <c r="P20" s="78">
        <v>11023.664999999999</v>
      </c>
      <c r="Q20" s="58">
        <f t="shared" si="8"/>
        <v>11147</v>
      </c>
      <c r="R20" s="58"/>
      <c r="S20" s="58">
        <v>11147</v>
      </c>
      <c r="T20" s="140">
        <f t="shared" si="4"/>
        <v>100</v>
      </c>
      <c r="U20" s="141">
        <f t="shared" si="1"/>
        <v>98.89355880505964</v>
      </c>
      <c r="V20" s="37"/>
      <c r="W20" s="37"/>
      <c r="X20" s="35"/>
    </row>
    <row r="21" spans="1:24" s="36" customFormat="1" ht="40.5" customHeight="1">
      <c r="A21" s="83" t="s">
        <v>23</v>
      </c>
      <c r="B21" s="28" t="s">
        <v>83</v>
      </c>
      <c r="C21" s="27" t="s">
        <v>28</v>
      </c>
      <c r="D21" s="27">
        <v>7778424</v>
      </c>
      <c r="E21" s="27" t="s">
        <v>33</v>
      </c>
      <c r="F21" s="33" t="s">
        <v>95</v>
      </c>
      <c r="G21" s="58">
        <v>9129.507</v>
      </c>
      <c r="H21" s="58">
        <v>8694.769</v>
      </c>
      <c r="I21" s="58">
        <v>9085.507</v>
      </c>
      <c r="J21" s="58"/>
      <c r="K21" s="58">
        <f t="shared" si="7"/>
        <v>5869</v>
      </c>
      <c r="L21" s="58"/>
      <c r="M21" s="58">
        <v>5869</v>
      </c>
      <c r="N21" s="78">
        <f t="shared" si="9"/>
        <v>5376.082326</v>
      </c>
      <c r="O21" s="78"/>
      <c r="P21" s="78">
        <v>5376.082326</v>
      </c>
      <c r="Q21" s="58">
        <f t="shared" si="8"/>
        <v>5869</v>
      </c>
      <c r="R21" s="58"/>
      <c r="S21" s="58">
        <v>5869</v>
      </c>
      <c r="T21" s="140">
        <f t="shared" si="4"/>
        <v>100</v>
      </c>
      <c r="U21" s="141">
        <f t="shared" si="1"/>
        <v>91.60133457147724</v>
      </c>
      <c r="V21" s="37"/>
      <c r="W21" s="37"/>
      <c r="X21" s="35"/>
    </row>
    <row r="22" spans="1:24" s="36" customFormat="1" ht="40.5" customHeight="1">
      <c r="A22" s="83" t="s">
        <v>23</v>
      </c>
      <c r="B22" s="68" t="s">
        <v>84</v>
      </c>
      <c r="C22" s="69" t="s">
        <v>28</v>
      </c>
      <c r="D22" s="69">
        <v>7778421</v>
      </c>
      <c r="E22" s="69" t="s">
        <v>33</v>
      </c>
      <c r="F22" s="84" t="s">
        <v>96</v>
      </c>
      <c r="G22" s="70">
        <v>14063.574</v>
      </c>
      <c r="H22" s="70">
        <v>12526.574</v>
      </c>
      <c r="I22" s="70">
        <f>K22</f>
        <v>4068.001</v>
      </c>
      <c r="J22" s="70"/>
      <c r="K22" s="70">
        <f t="shared" si="7"/>
        <v>4068.001</v>
      </c>
      <c r="L22" s="70">
        <v>0.0010000000002037268</v>
      </c>
      <c r="M22" s="70">
        <v>4068</v>
      </c>
      <c r="N22" s="78">
        <f t="shared" si="9"/>
        <v>3951.689098</v>
      </c>
      <c r="O22" s="94"/>
      <c r="P22" s="94">
        <v>3951.689098</v>
      </c>
      <c r="Q22" s="70">
        <f t="shared" si="8"/>
        <v>4068.001</v>
      </c>
      <c r="R22" s="70">
        <v>0.0010000000002037268</v>
      </c>
      <c r="S22" s="70">
        <v>4068</v>
      </c>
      <c r="T22" s="140">
        <f t="shared" si="4"/>
        <v>100</v>
      </c>
      <c r="U22" s="141">
        <f t="shared" si="1"/>
        <v>97.1408094049141</v>
      </c>
      <c r="V22" s="37"/>
      <c r="W22" s="37"/>
      <c r="X22" s="35"/>
    </row>
    <row r="23" spans="1:24" s="36" customFormat="1" ht="40.5" customHeight="1">
      <c r="A23" s="83" t="s">
        <v>23</v>
      </c>
      <c r="B23" s="68" t="s">
        <v>187</v>
      </c>
      <c r="C23" s="69" t="s">
        <v>28</v>
      </c>
      <c r="D23" s="69">
        <v>7770341</v>
      </c>
      <c r="E23" s="69" t="s">
        <v>33</v>
      </c>
      <c r="F23" s="84" t="s">
        <v>189</v>
      </c>
      <c r="G23" s="70">
        <v>14975</v>
      </c>
      <c r="H23" s="70">
        <v>14250</v>
      </c>
      <c r="I23" s="70">
        <f>H23</f>
        <v>14250</v>
      </c>
      <c r="J23" s="70"/>
      <c r="K23" s="70">
        <f t="shared" si="7"/>
        <v>1064.10875</v>
      </c>
      <c r="L23" s="70">
        <v>1064.10875</v>
      </c>
      <c r="M23" s="70"/>
      <c r="N23" s="78">
        <f t="shared" si="9"/>
        <v>938.825</v>
      </c>
      <c r="O23" s="94">
        <v>938.825</v>
      </c>
      <c r="P23" s="94"/>
      <c r="Q23" s="70">
        <f t="shared" si="8"/>
        <v>1064.10875</v>
      </c>
      <c r="R23" s="70">
        <v>1064.10875</v>
      </c>
      <c r="S23" s="70"/>
      <c r="T23" s="140">
        <f t="shared" si="4"/>
        <v>100</v>
      </c>
      <c r="U23" s="141">
        <f t="shared" si="1"/>
        <v>88.22641482837163</v>
      </c>
      <c r="V23" s="37"/>
      <c r="W23" s="37"/>
      <c r="X23" s="35"/>
    </row>
    <row r="24" spans="1:24" s="36" customFormat="1" ht="40.5" customHeight="1">
      <c r="A24" s="83" t="s">
        <v>23</v>
      </c>
      <c r="B24" s="68" t="s">
        <v>188</v>
      </c>
      <c r="C24" s="69" t="s">
        <v>28</v>
      </c>
      <c r="D24" s="69">
        <v>7770338</v>
      </c>
      <c r="E24" s="69" t="s">
        <v>33</v>
      </c>
      <c r="F24" s="84" t="s">
        <v>190</v>
      </c>
      <c r="G24" s="70">
        <v>6600</v>
      </c>
      <c r="H24" s="70">
        <v>6000</v>
      </c>
      <c r="I24" s="70">
        <f>H24</f>
        <v>6000</v>
      </c>
      <c r="J24" s="70"/>
      <c r="K24" s="70">
        <f t="shared" si="7"/>
        <v>1989.8614309999998</v>
      </c>
      <c r="L24" s="70">
        <v>1989.8614309999998</v>
      </c>
      <c r="M24" s="70"/>
      <c r="N24" s="78">
        <f t="shared" si="9"/>
        <v>1945.2077099999997</v>
      </c>
      <c r="O24" s="94">
        <v>1945.2077099999997</v>
      </c>
      <c r="P24" s="94"/>
      <c r="Q24" s="70">
        <f t="shared" si="8"/>
        <v>1989.8614309999998</v>
      </c>
      <c r="R24" s="70">
        <v>1989.8614309999998</v>
      </c>
      <c r="S24" s="70"/>
      <c r="T24" s="140">
        <f t="shared" si="4"/>
        <v>100</v>
      </c>
      <c r="U24" s="141">
        <f t="shared" si="1"/>
        <v>97.75593816210812</v>
      </c>
      <c r="V24" s="37"/>
      <c r="W24" s="37"/>
      <c r="X24" s="35"/>
    </row>
    <row r="25" spans="1:24" s="36" customFormat="1" ht="50.25" customHeight="1">
      <c r="A25" s="83" t="s">
        <v>23</v>
      </c>
      <c r="B25" s="68" t="s">
        <v>243</v>
      </c>
      <c r="C25" s="69" t="s">
        <v>28</v>
      </c>
      <c r="D25" s="69">
        <v>7794631</v>
      </c>
      <c r="E25" s="69">
        <v>2020</v>
      </c>
      <c r="F25" s="84" t="s">
        <v>244</v>
      </c>
      <c r="G25" s="70">
        <v>5362</v>
      </c>
      <c r="H25" s="70">
        <v>5059</v>
      </c>
      <c r="I25" s="70">
        <f>H25</f>
        <v>5059</v>
      </c>
      <c r="J25" s="70"/>
      <c r="K25" s="70">
        <f t="shared" si="7"/>
        <v>5059</v>
      </c>
      <c r="L25" s="70">
        <v>415</v>
      </c>
      <c r="M25" s="70">
        <v>4644</v>
      </c>
      <c r="N25" s="78">
        <f t="shared" si="9"/>
        <v>235.732</v>
      </c>
      <c r="O25" s="94">
        <v>235.732</v>
      </c>
      <c r="P25" s="94"/>
      <c r="Q25" s="70">
        <f t="shared" si="8"/>
        <v>5059</v>
      </c>
      <c r="R25" s="70">
        <v>415</v>
      </c>
      <c r="S25" s="70">
        <v>4644</v>
      </c>
      <c r="T25" s="140">
        <f t="shared" si="4"/>
        <v>100</v>
      </c>
      <c r="U25" s="141">
        <f t="shared" si="1"/>
        <v>4.6596560585095865</v>
      </c>
      <c r="V25" s="37"/>
      <c r="W25" s="37"/>
      <c r="X25" s="35"/>
    </row>
    <row r="26" spans="1:21" s="71" customFormat="1" ht="64.5" customHeight="1">
      <c r="A26" s="108" t="s">
        <v>134</v>
      </c>
      <c r="B26" s="67" t="s">
        <v>183</v>
      </c>
      <c r="C26" s="108"/>
      <c r="D26" s="108"/>
      <c r="E26" s="108"/>
      <c r="F26" s="108"/>
      <c r="G26" s="106">
        <f>G27</f>
        <v>98033.782</v>
      </c>
      <c r="H26" s="106">
        <f aca="true" t="shared" si="10" ref="H26:S26">H27</f>
        <v>98033.782</v>
      </c>
      <c r="I26" s="106">
        <f t="shared" si="10"/>
        <v>98033.782</v>
      </c>
      <c r="J26" s="106">
        <f t="shared" si="10"/>
        <v>0</v>
      </c>
      <c r="K26" s="106">
        <f t="shared" si="10"/>
        <v>15000</v>
      </c>
      <c r="L26" s="106">
        <f t="shared" si="10"/>
        <v>0</v>
      </c>
      <c r="M26" s="106">
        <f t="shared" si="10"/>
        <v>15000</v>
      </c>
      <c r="N26" s="127">
        <f t="shared" si="10"/>
        <v>15000.000000000002</v>
      </c>
      <c r="O26" s="127">
        <f t="shared" si="10"/>
        <v>0</v>
      </c>
      <c r="P26" s="127">
        <f t="shared" si="10"/>
        <v>15000.000000000002</v>
      </c>
      <c r="Q26" s="128">
        <f t="shared" si="10"/>
        <v>15000</v>
      </c>
      <c r="R26" s="128">
        <f t="shared" si="10"/>
        <v>0</v>
      </c>
      <c r="S26" s="128">
        <f t="shared" si="10"/>
        <v>15000</v>
      </c>
      <c r="T26" s="138">
        <f t="shared" si="4"/>
        <v>100</v>
      </c>
      <c r="U26" s="142">
        <f t="shared" si="1"/>
        <v>100.00000000000003</v>
      </c>
    </row>
    <row r="27" spans="1:21" s="76" customFormat="1" ht="64.5" customHeight="1">
      <c r="A27" s="85" t="s">
        <v>23</v>
      </c>
      <c r="B27" s="77" t="s">
        <v>201</v>
      </c>
      <c r="C27" s="27" t="s">
        <v>24</v>
      </c>
      <c r="D27" s="27">
        <v>7551368</v>
      </c>
      <c r="E27" s="27" t="s">
        <v>46</v>
      </c>
      <c r="F27" s="27" t="s">
        <v>27</v>
      </c>
      <c r="G27" s="33">
        <v>98033.782</v>
      </c>
      <c r="H27" s="33">
        <v>98033.782</v>
      </c>
      <c r="I27" s="33">
        <v>98033.782</v>
      </c>
      <c r="J27" s="27"/>
      <c r="K27" s="33">
        <v>15000</v>
      </c>
      <c r="L27" s="33">
        <v>0</v>
      </c>
      <c r="M27" s="33">
        <v>15000</v>
      </c>
      <c r="N27" s="92">
        <f>SUM(O27:P27)</f>
        <v>15000.000000000002</v>
      </c>
      <c r="O27" s="92">
        <v>0</v>
      </c>
      <c r="P27" s="92">
        <v>15000.000000000002</v>
      </c>
      <c r="Q27" s="33">
        <v>15000</v>
      </c>
      <c r="R27" s="33">
        <v>0</v>
      </c>
      <c r="S27" s="33">
        <v>15000</v>
      </c>
      <c r="T27" s="140">
        <f t="shared" si="4"/>
        <v>100</v>
      </c>
      <c r="U27" s="141">
        <f t="shared" si="1"/>
        <v>100.00000000000003</v>
      </c>
    </row>
    <row r="28" spans="1:26" s="71" customFormat="1" ht="46.5" customHeight="1">
      <c r="A28" s="108" t="s">
        <v>195</v>
      </c>
      <c r="B28" s="67" t="s">
        <v>192</v>
      </c>
      <c r="C28" s="108"/>
      <c r="D28" s="108"/>
      <c r="E28" s="108"/>
      <c r="F28" s="108"/>
      <c r="G28" s="106">
        <f>SUM(G29:G29)</f>
        <v>41875</v>
      </c>
      <c r="H28" s="106">
        <f aca="true" t="shared" si="11" ref="H28:R28">SUM(H29:H29)</f>
        <v>24813</v>
      </c>
      <c r="I28" s="106">
        <f t="shared" si="11"/>
        <v>28580</v>
      </c>
      <c r="J28" s="106">
        <f t="shared" si="11"/>
        <v>16976.095674</v>
      </c>
      <c r="K28" s="106">
        <f>SUM(K29:K29)</f>
        <v>5479.904325999999</v>
      </c>
      <c r="L28" s="106">
        <f t="shared" si="11"/>
        <v>5479.904325999999</v>
      </c>
      <c r="M28" s="106">
        <f>SUM(M29:M29)</f>
        <v>0</v>
      </c>
      <c r="N28" s="127">
        <f>SUM(N29:N29)</f>
        <v>1506.392</v>
      </c>
      <c r="O28" s="127">
        <f t="shared" si="11"/>
        <v>1506.392</v>
      </c>
      <c r="P28" s="127">
        <f t="shared" si="11"/>
        <v>0</v>
      </c>
      <c r="Q28" s="128">
        <f>SUM(Q29:Q29)</f>
        <v>5479.904325999999</v>
      </c>
      <c r="R28" s="128">
        <f t="shared" si="11"/>
        <v>5479.904325999999</v>
      </c>
      <c r="S28" s="128">
        <f>SUM(S29:S29)</f>
        <v>0</v>
      </c>
      <c r="T28" s="138">
        <f t="shared" si="4"/>
        <v>100</v>
      </c>
      <c r="U28" s="139">
        <f t="shared" si="1"/>
        <v>27.489385040040943</v>
      </c>
      <c r="Z28" s="91"/>
    </row>
    <row r="29" spans="1:26" s="76" customFormat="1" ht="63.75" customHeight="1">
      <c r="A29" s="85" t="s">
        <v>23</v>
      </c>
      <c r="B29" s="77" t="s">
        <v>194</v>
      </c>
      <c r="C29" s="27" t="s">
        <v>28</v>
      </c>
      <c r="D29" s="27">
        <v>7592943</v>
      </c>
      <c r="E29" s="27" t="s">
        <v>191</v>
      </c>
      <c r="F29" s="27" t="s">
        <v>193</v>
      </c>
      <c r="G29" s="33">
        <v>41875</v>
      </c>
      <c r="H29" s="33">
        <v>24813</v>
      </c>
      <c r="I29" s="33">
        <v>28580</v>
      </c>
      <c r="J29" s="27">
        <f>11456+5520.095674</f>
        <v>16976.095674</v>
      </c>
      <c r="K29" s="33">
        <f>SUM(L29:M29)</f>
        <v>5479.904325999999</v>
      </c>
      <c r="L29" s="33">
        <v>5479.904325999999</v>
      </c>
      <c r="M29" s="33">
        <v>0</v>
      </c>
      <c r="N29" s="92">
        <f>SUM(O29:P29)</f>
        <v>1506.392</v>
      </c>
      <c r="O29" s="92">
        <v>1506.392</v>
      </c>
      <c r="P29" s="93">
        <v>0</v>
      </c>
      <c r="Q29" s="33">
        <f>SUM(R29:S29)</f>
        <v>5479.904325999999</v>
      </c>
      <c r="R29" s="33">
        <v>5479.904325999999</v>
      </c>
      <c r="S29" s="33">
        <v>0</v>
      </c>
      <c r="T29" s="140">
        <f t="shared" si="4"/>
        <v>100</v>
      </c>
      <c r="U29" s="141">
        <f t="shared" si="1"/>
        <v>27.489385040040943</v>
      </c>
      <c r="Z29" s="90"/>
    </row>
    <row r="30" spans="1:26" s="80" customFormat="1" ht="22.5" customHeight="1">
      <c r="A30" s="108" t="s">
        <v>29</v>
      </c>
      <c r="B30" s="62" t="s">
        <v>77</v>
      </c>
      <c r="C30" s="62"/>
      <c r="D30" s="62"/>
      <c r="E30" s="62"/>
      <c r="F30" s="62"/>
      <c r="G30" s="64">
        <f>G31+G40+G44+G46+G58+G62+G66+G69+G71+G75+G85+G83+G64</f>
        <v>479810.62149099994</v>
      </c>
      <c r="H30" s="64">
        <f aca="true" t="shared" si="12" ref="H30:P30">H31+H40+H44+H46+H58+H62+H66+H69+H71+H75+H85+H83+H64</f>
        <v>472709.7666519999</v>
      </c>
      <c r="I30" s="64">
        <f t="shared" si="12"/>
        <v>305014.623499</v>
      </c>
      <c r="J30" s="64">
        <f t="shared" si="12"/>
        <v>3274.725309</v>
      </c>
      <c r="K30" s="64">
        <f t="shared" si="12"/>
        <v>119339.28991000002</v>
      </c>
      <c r="L30" s="64">
        <f t="shared" si="12"/>
        <v>37880.050942</v>
      </c>
      <c r="M30" s="64">
        <f t="shared" si="12"/>
        <v>81459.238968</v>
      </c>
      <c r="N30" s="64">
        <f t="shared" si="12"/>
        <v>78363.69951100001</v>
      </c>
      <c r="O30" s="64">
        <f t="shared" si="12"/>
        <v>29973.585565999998</v>
      </c>
      <c r="P30" s="64">
        <f t="shared" si="12"/>
        <v>48390.113945000005</v>
      </c>
      <c r="Q30" s="64">
        <f>Q31+Q40+Q44+Q46+Q58+Q62+Q66+Q69+Q71+Q75+Q85+Q83+Q64</f>
        <v>117480.22741900002</v>
      </c>
      <c r="R30" s="64">
        <f>R31+R40+R44+R46+R58+R62+R66+R69+R71+R75+R85+R83+R64</f>
        <v>36681.575451000004</v>
      </c>
      <c r="S30" s="64">
        <f>S31+S40+S44+S46+S58+S62+S66+S69+S71+S75+S85+S83+S64</f>
        <v>80798.651968</v>
      </c>
      <c r="T30" s="138">
        <f t="shared" si="4"/>
        <v>98.4422041622654</v>
      </c>
      <c r="U30" s="143">
        <f t="shared" si="1"/>
        <v>65.66462693895545</v>
      </c>
      <c r="V30" s="18"/>
      <c r="W30" s="18"/>
      <c r="X30" s="38"/>
      <c r="Z30" s="126"/>
    </row>
    <row r="31" spans="1:26" s="80" customFormat="1" ht="29.25" customHeight="1">
      <c r="A31" s="108" t="s">
        <v>30</v>
      </c>
      <c r="B31" s="108" t="s">
        <v>31</v>
      </c>
      <c r="C31" s="108"/>
      <c r="D31" s="108"/>
      <c r="E31" s="108"/>
      <c r="F31" s="108"/>
      <c r="G31" s="3">
        <f>SUM(G32:G39)</f>
        <v>38485.506330000004</v>
      </c>
      <c r="H31" s="3">
        <f aca="true" t="shared" si="13" ref="H31:P31">SUM(H32:H39)</f>
        <v>38485.506330000004</v>
      </c>
      <c r="I31" s="3">
        <f t="shared" si="13"/>
        <v>19235.984615</v>
      </c>
      <c r="J31" s="3">
        <f t="shared" si="13"/>
        <v>0</v>
      </c>
      <c r="K31" s="3">
        <f t="shared" si="13"/>
        <v>6625.685</v>
      </c>
      <c r="L31" s="3">
        <f t="shared" si="13"/>
        <v>699.6850000000001</v>
      </c>
      <c r="M31" s="3">
        <f t="shared" si="13"/>
        <v>5926</v>
      </c>
      <c r="N31" s="3">
        <f t="shared" si="13"/>
        <v>5250.121769</v>
      </c>
      <c r="O31" s="3">
        <f t="shared" si="13"/>
        <v>600.83</v>
      </c>
      <c r="P31" s="3">
        <f t="shared" si="13"/>
        <v>4649.291769</v>
      </c>
      <c r="Q31" s="3">
        <f>SUM(Q32:Q39)</f>
        <v>6625.685</v>
      </c>
      <c r="R31" s="3">
        <f>SUM(R32:R39)</f>
        <v>699.6850000000001</v>
      </c>
      <c r="S31" s="3">
        <f>SUM(S32:S39)</f>
        <v>5926</v>
      </c>
      <c r="T31" s="138">
        <f t="shared" si="4"/>
        <v>100</v>
      </c>
      <c r="U31" s="143">
        <f t="shared" si="1"/>
        <v>79.23892803536539</v>
      </c>
      <c r="V31" s="18"/>
      <c r="W31" s="18"/>
      <c r="X31" s="39" t="e">
        <f>#REF!-#REF!</f>
        <v>#REF!</v>
      </c>
      <c r="Z31" s="126"/>
    </row>
    <row r="32" spans="1:27" s="102" customFormat="1" ht="30" customHeight="1">
      <c r="A32" s="98" t="s">
        <v>23</v>
      </c>
      <c r="B32" s="99" t="s">
        <v>251</v>
      </c>
      <c r="C32" s="98" t="s">
        <v>28</v>
      </c>
      <c r="D32" s="98">
        <v>7794632</v>
      </c>
      <c r="E32" s="98" t="s">
        <v>56</v>
      </c>
      <c r="F32" s="103" t="s">
        <v>98</v>
      </c>
      <c r="G32" s="100">
        <v>3613</v>
      </c>
      <c r="H32" s="100">
        <v>3613</v>
      </c>
      <c r="I32" s="100">
        <f>55+209.133+351.094</f>
        <v>615.2270000000001</v>
      </c>
      <c r="J32" s="100"/>
      <c r="K32" s="100">
        <f>SUM(L32:M32)</f>
        <v>444.151</v>
      </c>
      <c r="L32" s="100">
        <f>351.094+38.057</f>
        <v>389.151</v>
      </c>
      <c r="M32" s="100">
        <v>55</v>
      </c>
      <c r="N32" s="100">
        <f>SUM(O32:P32)</f>
        <v>373.14500000000004</v>
      </c>
      <c r="O32" s="100">
        <f>280.088+38.057</f>
        <v>318.14500000000004</v>
      </c>
      <c r="P32" s="100">
        <v>55</v>
      </c>
      <c r="Q32" s="100">
        <f>SUM(R32:S32)</f>
        <v>444.151</v>
      </c>
      <c r="R32" s="100">
        <f>351.094+38.057</f>
        <v>389.151</v>
      </c>
      <c r="S32" s="100">
        <v>55</v>
      </c>
      <c r="T32" s="138">
        <f t="shared" si="4"/>
        <v>100</v>
      </c>
      <c r="U32" s="144">
        <f t="shared" si="1"/>
        <v>84.01309464573986</v>
      </c>
      <c r="V32" s="101"/>
      <c r="W32" s="101"/>
      <c r="X32" s="115"/>
      <c r="Z32" s="123">
        <f>O32+O43+O59+O63+O65+O77</f>
        <v>2938.4040000000005</v>
      </c>
      <c r="AA32" s="123">
        <f>P32+P43+P59+P63+P65+P77</f>
        <v>55</v>
      </c>
    </row>
    <row r="33" spans="1:24" s="81" customFormat="1" ht="43.5" customHeight="1">
      <c r="A33" s="27" t="s">
        <v>23</v>
      </c>
      <c r="B33" s="28" t="s">
        <v>61</v>
      </c>
      <c r="C33" s="27" t="s">
        <v>28</v>
      </c>
      <c r="D33" s="27">
        <v>7787528</v>
      </c>
      <c r="E33" s="27" t="s">
        <v>56</v>
      </c>
      <c r="F33" s="27" t="s">
        <v>97</v>
      </c>
      <c r="G33" s="58">
        <v>2998</v>
      </c>
      <c r="H33" s="58">
        <v>2998</v>
      </c>
      <c r="I33" s="58">
        <v>2998</v>
      </c>
      <c r="J33" s="58"/>
      <c r="K33" s="58">
        <f>SUM(L33:M33)</f>
        <v>1035.917</v>
      </c>
      <c r="L33" s="58"/>
      <c r="M33" s="150">
        <f>1335-299.083</f>
        <v>1035.917</v>
      </c>
      <c r="N33" s="78">
        <f>SUM(O33:P33)</f>
        <v>1020.328</v>
      </c>
      <c r="O33" s="78"/>
      <c r="P33" s="78">
        <v>1020.328</v>
      </c>
      <c r="Q33" s="58">
        <f>SUM(R33:S33)</f>
        <v>1035.917</v>
      </c>
      <c r="R33" s="58"/>
      <c r="S33" s="58">
        <f>1335-299.083</f>
        <v>1035.917</v>
      </c>
      <c r="T33" s="140">
        <f t="shared" si="4"/>
        <v>100</v>
      </c>
      <c r="U33" s="141">
        <f t="shared" si="1"/>
        <v>98.49514970793992</v>
      </c>
      <c r="V33" s="8"/>
      <c r="W33" s="8"/>
      <c r="X33" s="26" t="e">
        <f>X31+#REF!</f>
        <v>#REF!</v>
      </c>
    </row>
    <row r="34" spans="1:27" s="81" customFormat="1" ht="30.75" customHeight="1">
      <c r="A34" s="27" t="s">
        <v>23</v>
      </c>
      <c r="B34" s="28" t="s">
        <v>47</v>
      </c>
      <c r="C34" s="27" t="s">
        <v>28</v>
      </c>
      <c r="D34" s="27">
        <v>7708106</v>
      </c>
      <c r="E34" s="27" t="s">
        <v>56</v>
      </c>
      <c r="F34" s="27" t="s">
        <v>58</v>
      </c>
      <c r="G34" s="58">
        <v>4453.496</v>
      </c>
      <c r="H34" s="58">
        <v>4453.496</v>
      </c>
      <c r="I34" s="58">
        <f>H34</f>
        <v>4453.496</v>
      </c>
      <c r="J34" s="58"/>
      <c r="K34" s="58">
        <f>SUM(L34:M34)</f>
        <v>2832.589</v>
      </c>
      <c r="L34" s="29"/>
      <c r="M34" s="150">
        <f>3328-495.411</f>
        <v>2832.589</v>
      </c>
      <c r="N34" s="78">
        <f>SUM(O34:P34)</f>
        <v>2761.166</v>
      </c>
      <c r="O34" s="78">
        <v>0</v>
      </c>
      <c r="P34" s="78">
        <v>2761.166</v>
      </c>
      <c r="Q34" s="58">
        <f>SUM(R34:S34)</f>
        <v>2832.589</v>
      </c>
      <c r="R34" s="29"/>
      <c r="S34" s="58">
        <f>3328-495.411</f>
        <v>2832.589</v>
      </c>
      <c r="T34" s="140">
        <f t="shared" si="4"/>
        <v>100</v>
      </c>
      <c r="U34" s="141">
        <f t="shared" si="1"/>
        <v>97.47852582919727</v>
      </c>
      <c r="V34" s="26"/>
      <c r="W34" s="8"/>
      <c r="X34" s="40" t="e">
        <f>N30+#REF!</f>
        <v>#REF!</v>
      </c>
      <c r="Z34" s="125"/>
      <c r="AA34" s="125"/>
    </row>
    <row r="35" spans="1:24" s="81" customFormat="1" ht="36" customHeight="1">
      <c r="A35" s="27" t="s">
        <v>23</v>
      </c>
      <c r="B35" s="28" t="s">
        <v>59</v>
      </c>
      <c r="C35" s="27" t="s">
        <v>28</v>
      </c>
      <c r="D35" s="27">
        <v>7652357</v>
      </c>
      <c r="E35" s="27" t="s">
        <v>33</v>
      </c>
      <c r="F35" s="27" t="s">
        <v>40</v>
      </c>
      <c r="G35" s="58">
        <v>3780</v>
      </c>
      <c r="H35" s="58">
        <v>3780</v>
      </c>
      <c r="I35" s="58">
        <f>H35</f>
        <v>3780</v>
      </c>
      <c r="J35" s="58">
        <v>0</v>
      </c>
      <c r="K35" s="58">
        <f>SUM(L35:M35)</f>
        <v>346</v>
      </c>
      <c r="L35" s="29">
        <v>0</v>
      </c>
      <c r="M35" s="58">
        <v>346</v>
      </c>
      <c r="N35" s="78">
        <f>SUM(O35:P35)</f>
        <v>346</v>
      </c>
      <c r="O35" s="78">
        <v>0</v>
      </c>
      <c r="P35" s="78">
        <v>346</v>
      </c>
      <c r="Q35" s="58">
        <f>SUM(R35:S35)</f>
        <v>346</v>
      </c>
      <c r="R35" s="29">
        <v>0</v>
      </c>
      <c r="S35" s="58">
        <v>346</v>
      </c>
      <c r="T35" s="140">
        <f t="shared" si="4"/>
        <v>100</v>
      </c>
      <c r="U35" s="141">
        <f t="shared" si="1"/>
        <v>100</v>
      </c>
      <c r="V35" s="8"/>
      <c r="W35" s="8"/>
      <c r="X35" s="26"/>
    </row>
    <row r="36" spans="1:27" s="120" customFormat="1" ht="39" customHeight="1">
      <c r="A36" s="116" t="s">
        <v>23</v>
      </c>
      <c r="B36" s="117" t="s">
        <v>60</v>
      </c>
      <c r="C36" s="116" t="s">
        <v>28</v>
      </c>
      <c r="D36" s="116">
        <v>7733978</v>
      </c>
      <c r="E36" s="116" t="s">
        <v>33</v>
      </c>
      <c r="F36" s="116" t="s">
        <v>57</v>
      </c>
      <c r="G36" s="118">
        <v>4045.571616</v>
      </c>
      <c r="H36" s="118">
        <v>4045.571616</v>
      </c>
      <c r="I36" s="118">
        <f>H36</f>
        <v>4045.571616</v>
      </c>
      <c r="J36" s="118">
        <v>0</v>
      </c>
      <c r="K36" s="118">
        <f>SUM(L36:M36)</f>
        <v>513.590769</v>
      </c>
      <c r="L36" s="118"/>
      <c r="M36" s="118">
        <f>803-289.409231</f>
        <v>513.590769</v>
      </c>
      <c r="N36" s="118">
        <f>SUM(O36:P36)</f>
        <v>408.290769</v>
      </c>
      <c r="O36" s="118"/>
      <c r="P36" s="118">
        <v>408.290769</v>
      </c>
      <c r="Q36" s="118">
        <f>SUM(R36:S36)</f>
        <v>513.590769</v>
      </c>
      <c r="R36" s="118"/>
      <c r="S36" s="118">
        <f>803-289.409231</f>
        <v>513.590769</v>
      </c>
      <c r="T36" s="140">
        <f t="shared" si="4"/>
        <v>100</v>
      </c>
      <c r="U36" s="145">
        <f t="shared" si="1"/>
        <v>79.49729505360327</v>
      </c>
      <c r="V36" s="119"/>
      <c r="W36" s="119"/>
      <c r="X36" s="119"/>
      <c r="Y36" s="121"/>
      <c r="Z36" s="121"/>
      <c r="AA36" s="121"/>
    </row>
    <row r="37" spans="1:26" ht="50.25" customHeight="1">
      <c r="A37" s="27" t="s">
        <v>23</v>
      </c>
      <c r="B37" s="45" t="s">
        <v>72</v>
      </c>
      <c r="C37" s="27" t="s">
        <v>28</v>
      </c>
      <c r="D37" s="27">
        <v>7733977</v>
      </c>
      <c r="E37" s="27" t="s">
        <v>33</v>
      </c>
      <c r="F37" s="33" t="s">
        <v>73</v>
      </c>
      <c r="G37" s="58">
        <v>503.505903</v>
      </c>
      <c r="H37" s="58">
        <v>503.505903</v>
      </c>
      <c r="I37" s="58">
        <v>503.505903</v>
      </c>
      <c r="J37" s="58">
        <v>0</v>
      </c>
      <c r="K37" s="58">
        <f>L37+M37</f>
        <v>58.507</v>
      </c>
      <c r="L37" s="58">
        <v>0</v>
      </c>
      <c r="M37" s="150">
        <f>59-0.493</f>
        <v>58.507</v>
      </c>
      <c r="N37" s="78">
        <f>O37+P37</f>
        <v>58.507</v>
      </c>
      <c r="O37" s="78"/>
      <c r="P37" s="78">
        <v>58.507</v>
      </c>
      <c r="Q37" s="58">
        <f>R37+S37</f>
        <v>58.507</v>
      </c>
      <c r="R37" s="58">
        <v>0</v>
      </c>
      <c r="S37" s="58">
        <f>59-0.493</f>
        <v>58.507</v>
      </c>
      <c r="T37" s="140">
        <f t="shared" si="4"/>
        <v>100</v>
      </c>
      <c r="U37" s="141">
        <f t="shared" si="1"/>
        <v>100</v>
      </c>
      <c r="V37" s="34"/>
      <c r="W37" s="32"/>
      <c r="X37" s="6">
        <f>204.24715+10.74985+167.67355+10.32145</f>
        <v>392.9920000000001</v>
      </c>
      <c r="Z37" s="26"/>
    </row>
    <row r="38" spans="1:24" s="81" customFormat="1" ht="30">
      <c r="A38" s="27" t="s">
        <v>23</v>
      </c>
      <c r="B38" s="28" t="s">
        <v>101</v>
      </c>
      <c r="C38" s="27" t="s">
        <v>28</v>
      </c>
      <c r="D38" s="27">
        <v>7562185</v>
      </c>
      <c r="E38" s="27" t="s">
        <v>56</v>
      </c>
      <c r="F38" s="27" t="s">
        <v>102</v>
      </c>
      <c r="G38" s="58">
        <v>4991.932811</v>
      </c>
      <c r="H38" s="58">
        <f>G38</f>
        <v>4991.932811</v>
      </c>
      <c r="I38" s="58">
        <v>1727.938865</v>
      </c>
      <c r="J38" s="58">
        <v>0</v>
      </c>
      <c r="K38" s="58">
        <f>SUM(L38:M38)</f>
        <v>282.685</v>
      </c>
      <c r="L38" s="58">
        <v>282.685</v>
      </c>
      <c r="M38" s="58"/>
      <c r="N38" s="58">
        <f>SUM(O38:P38)</f>
        <v>282.685</v>
      </c>
      <c r="O38" s="58">
        <v>282.685</v>
      </c>
      <c r="P38" s="58"/>
      <c r="Q38" s="58">
        <f>SUM(R38:S38)</f>
        <v>282.685</v>
      </c>
      <c r="R38" s="58">
        <v>282.685</v>
      </c>
      <c r="S38" s="58"/>
      <c r="T38" s="140">
        <f t="shared" si="4"/>
        <v>100</v>
      </c>
      <c r="U38" s="141">
        <f>N38/K38*100</f>
        <v>100</v>
      </c>
      <c r="V38" s="8"/>
      <c r="W38" s="8"/>
      <c r="X38" s="8"/>
    </row>
    <row r="39" spans="1:24" s="137" customFormat="1" ht="32.25" customHeight="1">
      <c r="A39" s="129" t="s">
        <v>23</v>
      </c>
      <c r="B39" s="130" t="s">
        <v>197</v>
      </c>
      <c r="C39" s="131" t="s">
        <v>28</v>
      </c>
      <c r="D39" s="131">
        <v>7828198</v>
      </c>
      <c r="E39" s="131" t="s">
        <v>56</v>
      </c>
      <c r="F39" s="131" t="s">
        <v>198</v>
      </c>
      <c r="G39" s="132">
        <v>14100</v>
      </c>
      <c r="H39" s="132">
        <f>G39</f>
        <v>14100</v>
      </c>
      <c r="I39" s="132">
        <f>K39</f>
        <v>1112.245231</v>
      </c>
      <c r="J39" s="132"/>
      <c r="K39" s="132">
        <f>L39+M39</f>
        <v>1112.245231</v>
      </c>
      <c r="L39" s="132">
        <f>0.18+27.669</f>
        <v>27.849</v>
      </c>
      <c r="M39" s="132">
        <f>495.411+299.083+0.493+289.409231</f>
        <v>1084.3962310000002</v>
      </c>
      <c r="N39" s="133">
        <f>O39+P39</f>
        <v>0</v>
      </c>
      <c r="O39" s="133"/>
      <c r="P39" s="133">
        <v>0</v>
      </c>
      <c r="Q39" s="132">
        <f>R39+S39</f>
        <v>1112.245231</v>
      </c>
      <c r="R39" s="132">
        <v>27.849</v>
      </c>
      <c r="S39" s="132">
        <v>1084.3962310000002</v>
      </c>
      <c r="T39" s="140">
        <f t="shared" si="4"/>
        <v>100</v>
      </c>
      <c r="U39" s="146">
        <f>N39/K39*100</f>
        <v>0</v>
      </c>
      <c r="V39" s="134"/>
      <c r="W39" s="135"/>
      <c r="X39" s="136"/>
    </row>
    <row r="40" spans="1:24" s="80" customFormat="1" ht="17.25" customHeight="1">
      <c r="A40" s="108" t="s">
        <v>34</v>
      </c>
      <c r="B40" s="108" t="s">
        <v>35</v>
      </c>
      <c r="C40" s="108"/>
      <c r="D40" s="108"/>
      <c r="E40" s="108"/>
      <c r="F40" s="108"/>
      <c r="G40" s="3">
        <f aca="true" t="shared" si="14" ref="G40:P40">SUM(G41:G43)</f>
        <v>9379.932810999999</v>
      </c>
      <c r="H40" s="3">
        <f t="shared" si="14"/>
        <v>9379.932810999999</v>
      </c>
      <c r="I40" s="3">
        <f t="shared" si="14"/>
        <v>4158.533</v>
      </c>
      <c r="J40" s="3">
        <f t="shared" si="14"/>
        <v>0</v>
      </c>
      <c r="K40" s="3">
        <f t="shared" si="14"/>
        <v>3497.533</v>
      </c>
      <c r="L40" s="3">
        <f t="shared" si="14"/>
        <v>497.533</v>
      </c>
      <c r="M40" s="3">
        <f t="shared" si="14"/>
        <v>3000</v>
      </c>
      <c r="N40" s="3">
        <f t="shared" si="14"/>
        <v>1743.083</v>
      </c>
      <c r="O40" s="3">
        <f t="shared" si="14"/>
        <v>497.533</v>
      </c>
      <c r="P40" s="3">
        <f t="shared" si="14"/>
        <v>1245.5500000000002</v>
      </c>
      <c r="Q40" s="3">
        <f>SUM(Q41:Q43)</f>
        <v>3497.533</v>
      </c>
      <c r="R40" s="3">
        <f>SUM(R41:R43)</f>
        <v>497.533</v>
      </c>
      <c r="S40" s="3">
        <f>SUM(S41:S43)</f>
        <v>3000</v>
      </c>
      <c r="T40" s="138">
        <f t="shared" si="4"/>
        <v>100</v>
      </c>
      <c r="U40" s="143">
        <f t="shared" si="1"/>
        <v>49.83749974624972</v>
      </c>
      <c r="V40" s="18"/>
      <c r="W40" s="18"/>
      <c r="X40" s="18"/>
    </row>
    <row r="41" spans="1:27" s="102" customFormat="1" ht="38.25" customHeight="1">
      <c r="A41" s="27" t="s">
        <v>23</v>
      </c>
      <c r="B41" s="28" t="s">
        <v>101</v>
      </c>
      <c r="C41" s="27" t="s">
        <v>28</v>
      </c>
      <c r="D41" s="27">
        <v>7562185</v>
      </c>
      <c r="E41" s="27" t="s">
        <v>56</v>
      </c>
      <c r="F41" s="27" t="s">
        <v>102</v>
      </c>
      <c r="G41" s="58">
        <v>4991.932811</v>
      </c>
      <c r="H41" s="58">
        <f>G41</f>
        <v>4991.932811</v>
      </c>
      <c r="I41" s="58">
        <v>2886</v>
      </c>
      <c r="J41" s="58">
        <v>0</v>
      </c>
      <c r="K41" s="58">
        <f>SUM(L41:M41)</f>
        <v>2918.928</v>
      </c>
      <c r="L41" s="29"/>
      <c r="M41" s="58">
        <f>2886+32.928</f>
        <v>2918.928</v>
      </c>
      <c r="N41" s="58">
        <f>SUM(O41:P41)</f>
        <v>1164.478</v>
      </c>
      <c r="O41" s="58"/>
      <c r="P41" s="58">
        <v>1164.478</v>
      </c>
      <c r="Q41" s="58">
        <f>SUM(R41:S41)</f>
        <v>2918.928</v>
      </c>
      <c r="R41" s="29"/>
      <c r="S41" s="58">
        <f>2886+32.928</f>
        <v>2918.928</v>
      </c>
      <c r="T41" s="140">
        <f t="shared" si="4"/>
        <v>100</v>
      </c>
      <c r="U41" s="141">
        <f t="shared" si="1"/>
        <v>39.89402958894498</v>
      </c>
      <c r="V41" s="8"/>
      <c r="W41" s="8"/>
      <c r="X41" s="8"/>
      <c r="Y41" s="81"/>
      <c r="Z41" s="81"/>
      <c r="AA41" s="81"/>
    </row>
    <row r="42" spans="1:27" s="102" customFormat="1" ht="31.5" customHeight="1">
      <c r="A42" s="27" t="s">
        <v>23</v>
      </c>
      <c r="B42" s="28" t="s">
        <v>54</v>
      </c>
      <c r="C42" s="27" t="s">
        <v>28</v>
      </c>
      <c r="D42" s="27">
        <v>7728566</v>
      </c>
      <c r="E42" s="27" t="s">
        <v>33</v>
      </c>
      <c r="F42" s="27" t="s">
        <v>55</v>
      </c>
      <c r="G42" s="58">
        <v>775</v>
      </c>
      <c r="H42" s="58">
        <v>775</v>
      </c>
      <c r="I42" s="58">
        <f>H42</f>
        <v>775</v>
      </c>
      <c r="J42" s="58"/>
      <c r="K42" s="58">
        <f>SUM(L42:M42)</f>
        <v>81.072</v>
      </c>
      <c r="L42" s="58"/>
      <c r="M42" s="58">
        <f>114-32.928</f>
        <v>81.072</v>
      </c>
      <c r="N42" s="78">
        <f>SUM(O42:P42)</f>
        <v>81.072</v>
      </c>
      <c r="O42" s="78"/>
      <c r="P42" s="78">
        <v>81.072</v>
      </c>
      <c r="Q42" s="58">
        <f>SUM(R42:S42)</f>
        <v>81.072</v>
      </c>
      <c r="R42" s="58"/>
      <c r="S42" s="58">
        <f>114-32.928</f>
        <v>81.072</v>
      </c>
      <c r="T42" s="140">
        <f t="shared" si="4"/>
        <v>100</v>
      </c>
      <c r="U42" s="141">
        <f t="shared" si="1"/>
        <v>100</v>
      </c>
      <c r="V42" s="8"/>
      <c r="W42" s="8"/>
      <c r="X42" s="8"/>
      <c r="Y42" s="81"/>
      <c r="Z42" s="81"/>
      <c r="AA42" s="81"/>
    </row>
    <row r="43" spans="1:24" s="102" customFormat="1" ht="30" customHeight="1">
      <c r="A43" s="98" t="s">
        <v>23</v>
      </c>
      <c r="B43" s="99" t="s">
        <v>91</v>
      </c>
      <c r="C43" s="98" t="s">
        <v>28</v>
      </c>
      <c r="D43" s="98">
        <v>7794632</v>
      </c>
      <c r="E43" s="98" t="s">
        <v>56</v>
      </c>
      <c r="F43" s="103" t="s">
        <v>98</v>
      </c>
      <c r="G43" s="100">
        <v>3613</v>
      </c>
      <c r="H43" s="100">
        <v>3613</v>
      </c>
      <c r="I43" s="100">
        <v>497.533</v>
      </c>
      <c r="J43" s="100"/>
      <c r="K43" s="100">
        <f>SUM(L43:M43)</f>
        <v>497.533</v>
      </c>
      <c r="L43" s="100">
        <v>497.533</v>
      </c>
      <c r="M43" s="100"/>
      <c r="N43" s="100">
        <f>SUM(O43:P43)</f>
        <v>497.533</v>
      </c>
      <c r="O43" s="100">
        <v>497.533</v>
      </c>
      <c r="P43" s="100"/>
      <c r="Q43" s="100">
        <f>SUM(R43:S43)</f>
        <v>497.533</v>
      </c>
      <c r="R43" s="100">
        <v>497.533</v>
      </c>
      <c r="S43" s="100"/>
      <c r="T43" s="140">
        <f t="shared" si="4"/>
        <v>100</v>
      </c>
      <c r="U43" s="144">
        <f>N43/K43*100</f>
        <v>100</v>
      </c>
      <c r="V43" s="101"/>
      <c r="W43" s="101"/>
      <c r="X43" s="115"/>
    </row>
    <row r="44" spans="1:24" s="80" customFormat="1" ht="24.75" customHeight="1">
      <c r="A44" s="59" t="s">
        <v>204</v>
      </c>
      <c r="B44" s="60" t="s">
        <v>71</v>
      </c>
      <c r="C44" s="59"/>
      <c r="D44" s="59"/>
      <c r="E44" s="59"/>
      <c r="F44" s="59"/>
      <c r="G44" s="61">
        <f>G45</f>
        <v>37750.04</v>
      </c>
      <c r="H44" s="61">
        <f aca="true" t="shared" si="15" ref="H44:S44">H45</f>
        <v>37750.04</v>
      </c>
      <c r="I44" s="61">
        <f t="shared" si="15"/>
        <v>37750.04</v>
      </c>
      <c r="J44" s="61">
        <f t="shared" si="15"/>
        <v>0</v>
      </c>
      <c r="K44" s="61">
        <f t="shared" si="15"/>
        <v>18060.932</v>
      </c>
      <c r="L44" s="61">
        <f t="shared" si="15"/>
        <v>3060.932</v>
      </c>
      <c r="M44" s="61">
        <f t="shared" si="15"/>
        <v>15000</v>
      </c>
      <c r="N44" s="61">
        <f t="shared" si="15"/>
        <v>8060.932</v>
      </c>
      <c r="O44" s="61">
        <f t="shared" si="15"/>
        <v>3060.932</v>
      </c>
      <c r="P44" s="61">
        <f t="shared" si="15"/>
        <v>5000</v>
      </c>
      <c r="Q44" s="61">
        <f t="shared" si="15"/>
        <v>18060.932</v>
      </c>
      <c r="R44" s="61">
        <f t="shared" si="15"/>
        <v>3060.932</v>
      </c>
      <c r="S44" s="61">
        <f t="shared" si="15"/>
        <v>15000</v>
      </c>
      <c r="T44" s="138">
        <f t="shared" si="4"/>
        <v>100</v>
      </c>
      <c r="U44" s="142">
        <f t="shared" si="1"/>
        <v>44.63187171071791</v>
      </c>
      <c r="V44" s="18"/>
      <c r="W44" s="18"/>
      <c r="X44" s="18"/>
    </row>
    <row r="45" spans="1:21" s="66" customFormat="1" ht="62.25" customHeight="1">
      <c r="A45" s="27" t="s">
        <v>23</v>
      </c>
      <c r="B45" s="28" t="s">
        <v>252</v>
      </c>
      <c r="C45" s="27" t="s">
        <v>28</v>
      </c>
      <c r="D45" s="27">
        <v>7713157</v>
      </c>
      <c r="E45" s="27" t="s">
        <v>32</v>
      </c>
      <c r="F45" s="27" t="s">
        <v>62</v>
      </c>
      <c r="G45" s="58">
        <v>37750.04</v>
      </c>
      <c r="H45" s="58">
        <v>37750.04</v>
      </c>
      <c r="I45" s="58">
        <f>H45</f>
        <v>37750.04</v>
      </c>
      <c r="J45" s="58"/>
      <c r="K45" s="58">
        <f>SUM(L45:M45)</f>
        <v>18060.932</v>
      </c>
      <c r="L45" s="58">
        <v>3060.932</v>
      </c>
      <c r="M45" s="58">
        <v>15000</v>
      </c>
      <c r="N45" s="78">
        <f>SUM(O45:P45)</f>
        <v>8060.932</v>
      </c>
      <c r="O45" s="78">
        <v>3060.932</v>
      </c>
      <c r="P45" s="78">
        <v>5000</v>
      </c>
      <c r="Q45" s="58">
        <f>SUM(R45:S45)</f>
        <v>18060.932</v>
      </c>
      <c r="R45" s="58">
        <v>3060.932</v>
      </c>
      <c r="S45" s="58">
        <v>15000</v>
      </c>
      <c r="T45" s="140">
        <f t="shared" si="4"/>
        <v>100</v>
      </c>
      <c r="U45" s="141">
        <f t="shared" si="1"/>
        <v>44.63187171071791</v>
      </c>
    </row>
    <row r="46" spans="1:24" s="18" customFormat="1" ht="39.75" customHeight="1">
      <c r="A46" s="62" t="s">
        <v>36</v>
      </c>
      <c r="B46" s="62" t="s">
        <v>186</v>
      </c>
      <c r="C46" s="62"/>
      <c r="D46" s="62"/>
      <c r="E46" s="62"/>
      <c r="F46" s="63"/>
      <c r="G46" s="64">
        <f>G47+G55</f>
        <v>272652.806</v>
      </c>
      <c r="H46" s="64">
        <f aca="true" t="shared" si="16" ref="H46:P46">H47+H55</f>
        <v>272652.806</v>
      </c>
      <c r="I46" s="64">
        <f t="shared" si="16"/>
        <v>157506.626961</v>
      </c>
      <c r="J46" s="64">
        <f t="shared" si="16"/>
        <v>0</v>
      </c>
      <c r="K46" s="64">
        <f t="shared" si="16"/>
        <v>46217.106419</v>
      </c>
      <c r="L46" s="64">
        <f t="shared" si="16"/>
        <v>23787.867451000002</v>
      </c>
      <c r="M46" s="64">
        <f t="shared" si="16"/>
        <v>22429.238968</v>
      </c>
      <c r="N46" s="64">
        <f t="shared" si="16"/>
        <v>26265.50156</v>
      </c>
      <c r="O46" s="64">
        <f t="shared" si="16"/>
        <v>18862.665535</v>
      </c>
      <c r="P46" s="64">
        <f t="shared" si="16"/>
        <v>7402.8360250000005</v>
      </c>
      <c r="Q46" s="64">
        <f>Q47+Q55</f>
        <v>46217.106419</v>
      </c>
      <c r="R46" s="64">
        <f>R47+R55</f>
        <v>23787.867451000002</v>
      </c>
      <c r="S46" s="64">
        <f>S47+S55</f>
        <v>22429.238968</v>
      </c>
      <c r="T46" s="138">
        <f t="shared" si="4"/>
        <v>100</v>
      </c>
      <c r="U46" s="147">
        <f>N46/K46*100</f>
        <v>56.830692345555775</v>
      </c>
      <c r="V46" s="65"/>
      <c r="W46" s="65"/>
      <c r="X46" s="41"/>
    </row>
    <row r="47" spans="1:24" s="18" customFormat="1" ht="32.25" customHeight="1">
      <c r="A47" s="72" t="s">
        <v>23</v>
      </c>
      <c r="B47" s="30" t="s">
        <v>74</v>
      </c>
      <c r="C47" s="30"/>
      <c r="D47" s="30"/>
      <c r="E47" s="108"/>
      <c r="F47" s="30"/>
      <c r="G47" s="3">
        <f>SUM(G48:G54)</f>
        <v>79112.13500000001</v>
      </c>
      <c r="H47" s="3">
        <f aca="true" t="shared" si="17" ref="H47:P47">SUM(H48:H54)</f>
        <v>79112.13500000001</v>
      </c>
      <c r="I47" s="3">
        <f t="shared" si="17"/>
        <v>38328.369</v>
      </c>
      <c r="J47" s="3">
        <f t="shared" si="17"/>
        <v>0</v>
      </c>
      <c r="K47" s="3">
        <f t="shared" si="17"/>
        <v>18028.012958</v>
      </c>
      <c r="L47" s="3">
        <f t="shared" si="17"/>
        <v>424.03195099999994</v>
      </c>
      <c r="M47" s="3">
        <f t="shared" si="17"/>
        <v>17603.981007000002</v>
      </c>
      <c r="N47" s="3">
        <f t="shared" si="17"/>
        <v>8710.329976</v>
      </c>
      <c r="O47" s="3">
        <f t="shared" si="17"/>
        <v>1307.493951</v>
      </c>
      <c r="P47" s="3">
        <f t="shared" si="17"/>
        <v>7402.8360250000005</v>
      </c>
      <c r="Q47" s="3">
        <f>SUM(Q48:Q54)</f>
        <v>18028.012958</v>
      </c>
      <c r="R47" s="3">
        <f>SUM(R48:R54)</f>
        <v>424.03195099999994</v>
      </c>
      <c r="S47" s="3">
        <f>SUM(S48:S54)</f>
        <v>17603.981007000002</v>
      </c>
      <c r="T47" s="138">
        <f t="shared" si="4"/>
        <v>100</v>
      </c>
      <c r="U47" s="139">
        <f t="shared" si="1"/>
        <v>48.31552981625054</v>
      </c>
      <c r="V47" s="31"/>
      <c r="W47" s="32"/>
      <c r="X47" s="41"/>
    </row>
    <row r="48" spans="1:23" ht="32.25" customHeight="1">
      <c r="A48" s="42" t="s">
        <v>92</v>
      </c>
      <c r="B48" s="28" t="s">
        <v>136</v>
      </c>
      <c r="C48" s="27" t="s">
        <v>28</v>
      </c>
      <c r="D48" s="27">
        <v>7778471</v>
      </c>
      <c r="E48" s="27" t="s">
        <v>56</v>
      </c>
      <c r="F48" s="27" t="s">
        <v>179</v>
      </c>
      <c r="G48" s="58">
        <v>2500</v>
      </c>
      <c r="H48" s="58">
        <v>2500</v>
      </c>
      <c r="I48" s="58">
        <f>H48</f>
        <v>2500</v>
      </c>
      <c r="J48" s="58"/>
      <c r="K48" s="58">
        <f>L48+M48</f>
        <v>173.504</v>
      </c>
      <c r="L48" s="132">
        <f>200-26.496</f>
        <v>173.504</v>
      </c>
      <c r="M48" s="58">
        <v>0</v>
      </c>
      <c r="N48" s="78">
        <f aca="true" t="shared" si="18" ref="N48:N53">O48+P48</f>
        <v>173.504</v>
      </c>
      <c r="O48" s="78">
        <v>173.504</v>
      </c>
      <c r="P48" s="78"/>
      <c r="Q48" s="58">
        <f>R48+S48</f>
        <v>173.504</v>
      </c>
      <c r="R48" s="132">
        <f>200-26.496</f>
        <v>173.504</v>
      </c>
      <c r="S48" s="58">
        <v>0</v>
      </c>
      <c r="T48" s="140">
        <f t="shared" si="4"/>
        <v>100</v>
      </c>
      <c r="U48" s="141">
        <f t="shared" si="1"/>
        <v>100</v>
      </c>
      <c r="V48" s="34"/>
      <c r="W48" s="43"/>
    </row>
    <row r="49" spans="1:23" ht="32.25" customHeight="1">
      <c r="A49" s="42" t="s">
        <v>92</v>
      </c>
      <c r="B49" s="28" t="s">
        <v>137</v>
      </c>
      <c r="C49" s="27" t="s">
        <v>28</v>
      </c>
      <c r="D49" s="27">
        <v>7787810</v>
      </c>
      <c r="E49" s="27" t="s">
        <v>56</v>
      </c>
      <c r="F49" s="27" t="s">
        <v>180</v>
      </c>
      <c r="G49" s="58">
        <v>9440.095</v>
      </c>
      <c r="H49" s="58">
        <v>9440.095</v>
      </c>
      <c r="I49" s="58">
        <f>H49</f>
        <v>9440.095</v>
      </c>
      <c r="J49" s="58"/>
      <c r="K49" s="58">
        <f>L49+M49</f>
        <v>132.717976</v>
      </c>
      <c r="L49" s="58">
        <v>132.717976</v>
      </c>
      <c r="M49" s="58"/>
      <c r="N49" s="78">
        <f t="shared" si="18"/>
        <v>132.717976</v>
      </c>
      <c r="O49" s="78">
        <v>132.717976</v>
      </c>
      <c r="P49" s="78"/>
      <c r="Q49" s="58">
        <f>R49+S49</f>
        <v>132.717976</v>
      </c>
      <c r="R49" s="58">
        <v>132.717976</v>
      </c>
      <c r="S49" s="58"/>
      <c r="T49" s="140">
        <f t="shared" si="4"/>
        <v>100</v>
      </c>
      <c r="U49" s="141">
        <f t="shared" si="1"/>
        <v>100</v>
      </c>
      <c r="V49" s="34"/>
      <c r="W49" s="43"/>
    </row>
    <row r="50" spans="1:23" ht="32.25" customHeight="1">
      <c r="A50" s="42" t="s">
        <v>92</v>
      </c>
      <c r="B50" s="28" t="s">
        <v>138</v>
      </c>
      <c r="C50" s="27" t="s">
        <v>28</v>
      </c>
      <c r="D50" s="27">
        <v>7794630</v>
      </c>
      <c r="E50" s="27" t="s">
        <v>56</v>
      </c>
      <c r="F50" s="27" t="s">
        <v>181</v>
      </c>
      <c r="G50" s="58">
        <v>1122</v>
      </c>
      <c r="H50" s="58">
        <v>1122</v>
      </c>
      <c r="I50" s="58">
        <f>H50</f>
        <v>1122</v>
      </c>
      <c r="J50" s="58"/>
      <c r="K50" s="58">
        <f>L50+M50</f>
        <v>922.912</v>
      </c>
      <c r="L50" s="58"/>
      <c r="M50" s="132">
        <f>1122-199.088</f>
        <v>922.912</v>
      </c>
      <c r="N50" s="78">
        <f t="shared" si="18"/>
        <v>909.958</v>
      </c>
      <c r="O50" s="78">
        <v>909.958</v>
      </c>
      <c r="P50" s="78"/>
      <c r="Q50" s="58">
        <f>R50+S50</f>
        <v>922.912</v>
      </c>
      <c r="R50" s="58"/>
      <c r="S50" s="132">
        <f>1122-199.088</f>
        <v>922.912</v>
      </c>
      <c r="T50" s="140">
        <f t="shared" si="4"/>
        <v>100</v>
      </c>
      <c r="U50" s="141">
        <f t="shared" si="1"/>
        <v>98.5963992233279</v>
      </c>
      <c r="V50" s="34"/>
      <c r="W50" s="43"/>
    </row>
    <row r="51" spans="1:23" ht="32.25" customHeight="1">
      <c r="A51" s="42" t="s">
        <v>92</v>
      </c>
      <c r="B51" s="28" t="s">
        <v>139</v>
      </c>
      <c r="C51" s="27" t="s">
        <v>28</v>
      </c>
      <c r="D51" s="27">
        <v>7813033</v>
      </c>
      <c r="E51" s="27" t="s">
        <v>56</v>
      </c>
      <c r="F51" s="27" t="s">
        <v>182</v>
      </c>
      <c r="G51" s="58">
        <v>10000</v>
      </c>
      <c r="H51" s="58">
        <v>10000</v>
      </c>
      <c r="I51" s="58">
        <f>H51</f>
        <v>10000</v>
      </c>
      <c r="J51" s="58"/>
      <c r="K51" s="58">
        <f>L51+M51</f>
        <v>2591.313975</v>
      </c>
      <c r="L51" s="58">
        <v>91.313975</v>
      </c>
      <c r="M51" s="58">
        <v>2500</v>
      </c>
      <c r="N51" s="78">
        <f t="shared" si="18"/>
        <v>1431.681</v>
      </c>
      <c r="O51" s="78">
        <v>91.313975</v>
      </c>
      <c r="P51" s="78">
        <v>1340.367025</v>
      </c>
      <c r="Q51" s="58">
        <f>R51+S51</f>
        <v>2591.313975</v>
      </c>
      <c r="R51" s="58">
        <v>91.313975</v>
      </c>
      <c r="S51" s="58">
        <v>2500</v>
      </c>
      <c r="T51" s="140">
        <f t="shared" si="4"/>
        <v>100</v>
      </c>
      <c r="U51" s="141">
        <f t="shared" si="1"/>
        <v>55.24922930267453</v>
      </c>
      <c r="V51" s="34"/>
      <c r="W51" s="43"/>
    </row>
    <row r="52" spans="1:24" s="137" customFormat="1" ht="32.25" customHeight="1">
      <c r="A52" s="129" t="s">
        <v>92</v>
      </c>
      <c r="B52" s="130" t="s">
        <v>197</v>
      </c>
      <c r="C52" s="131" t="s">
        <v>28</v>
      </c>
      <c r="D52" s="131">
        <v>7828198</v>
      </c>
      <c r="E52" s="131" t="s">
        <v>56</v>
      </c>
      <c r="F52" s="131" t="s">
        <v>198</v>
      </c>
      <c r="G52" s="132">
        <v>14100</v>
      </c>
      <c r="H52" s="132">
        <f>G52</f>
        <v>14100</v>
      </c>
      <c r="I52" s="132">
        <f>K52</f>
        <v>9066.274</v>
      </c>
      <c r="J52" s="132"/>
      <c r="K52" s="132">
        <f>SUM(L52:M52)</f>
        <v>9066.274</v>
      </c>
      <c r="L52" s="132">
        <f>26.496</f>
        <v>26.496</v>
      </c>
      <c r="M52" s="132">
        <f>6545+199.088+2295.69</f>
        <v>9039.778</v>
      </c>
      <c r="N52" s="133">
        <f t="shared" si="18"/>
        <v>6062.469</v>
      </c>
      <c r="O52" s="133"/>
      <c r="P52" s="133">
        <v>6062.469</v>
      </c>
      <c r="Q52" s="132">
        <f>SUM(R52:S52)</f>
        <v>9066.274</v>
      </c>
      <c r="R52" s="132">
        <f>26.496</f>
        <v>26.496</v>
      </c>
      <c r="S52" s="132">
        <f>6545+199.088+2295.69</f>
        <v>9039.778</v>
      </c>
      <c r="T52" s="140">
        <f t="shared" si="4"/>
        <v>100</v>
      </c>
      <c r="U52" s="146">
        <f t="shared" si="1"/>
        <v>66.86836290189333</v>
      </c>
      <c r="V52" s="134"/>
      <c r="W52" s="135"/>
      <c r="X52" s="136"/>
    </row>
    <row r="53" spans="1:27" s="113" customFormat="1" ht="32.25" customHeight="1">
      <c r="A53" s="42" t="s">
        <v>92</v>
      </c>
      <c r="B53" s="28" t="s">
        <v>250</v>
      </c>
      <c r="C53" s="27" t="s">
        <v>28</v>
      </c>
      <c r="D53" s="27"/>
      <c r="E53" s="27" t="s">
        <v>127</v>
      </c>
      <c r="F53" s="27" t="s">
        <v>247</v>
      </c>
      <c r="G53" s="58">
        <v>4200</v>
      </c>
      <c r="H53" s="58">
        <v>4200</v>
      </c>
      <c r="I53" s="58">
        <v>4200</v>
      </c>
      <c r="J53" s="58"/>
      <c r="K53" s="58">
        <f>SUM(L53:M53)</f>
        <v>3141.291007</v>
      </c>
      <c r="L53" s="58"/>
      <c r="M53" s="58">
        <v>3141.291007</v>
      </c>
      <c r="N53" s="58">
        <f t="shared" si="18"/>
        <v>0</v>
      </c>
      <c r="O53" s="58"/>
      <c r="P53" s="58"/>
      <c r="Q53" s="58">
        <f>SUM(R53:S53)</f>
        <v>3141.291007</v>
      </c>
      <c r="R53" s="58"/>
      <c r="S53" s="58">
        <v>3141.291007</v>
      </c>
      <c r="T53" s="140">
        <f t="shared" si="4"/>
        <v>100</v>
      </c>
      <c r="U53" s="141">
        <f t="shared" si="1"/>
        <v>0</v>
      </c>
      <c r="V53" s="34"/>
      <c r="W53" s="43"/>
      <c r="X53" s="6"/>
      <c r="Y53" s="8"/>
      <c r="Z53" s="8"/>
      <c r="AA53" s="8"/>
    </row>
    <row r="54" spans="1:21" s="66" customFormat="1" ht="62.25" customHeight="1">
      <c r="A54" s="42" t="s">
        <v>92</v>
      </c>
      <c r="B54" s="28" t="s">
        <v>262</v>
      </c>
      <c r="C54" s="27" t="s">
        <v>28</v>
      </c>
      <c r="D54" s="27">
        <v>7713157</v>
      </c>
      <c r="E54" s="27" t="s">
        <v>32</v>
      </c>
      <c r="F54" s="27" t="s">
        <v>62</v>
      </c>
      <c r="G54" s="58">
        <v>37750.04</v>
      </c>
      <c r="H54" s="58">
        <v>37750.04</v>
      </c>
      <c r="I54" s="58">
        <v>2000</v>
      </c>
      <c r="J54" s="58"/>
      <c r="K54" s="58">
        <f>SUM(L54:M54)</f>
        <v>2000</v>
      </c>
      <c r="L54" s="58">
        <v>0</v>
      </c>
      <c r="M54" s="58">
        <v>2000</v>
      </c>
      <c r="N54" s="78">
        <f>SUM(O54:P54)</f>
        <v>0</v>
      </c>
      <c r="O54" s="78"/>
      <c r="P54" s="78"/>
      <c r="Q54" s="58">
        <f>SUM(R54:S54)</f>
        <v>2000</v>
      </c>
      <c r="R54" s="58">
        <v>0</v>
      </c>
      <c r="S54" s="58">
        <v>2000</v>
      </c>
      <c r="T54" s="140">
        <f t="shared" si="4"/>
        <v>100</v>
      </c>
      <c r="U54" s="141">
        <f>N54/K54*100</f>
        <v>0</v>
      </c>
    </row>
    <row r="55" spans="1:24" s="18" customFormat="1" ht="39" customHeight="1">
      <c r="A55" s="72" t="s">
        <v>23</v>
      </c>
      <c r="B55" s="30" t="s">
        <v>103</v>
      </c>
      <c r="C55" s="30"/>
      <c r="D55" s="30"/>
      <c r="E55" s="108"/>
      <c r="F55" s="30"/>
      <c r="G55" s="3">
        <f aca="true" t="shared" si="19" ref="G55:S55">G56+G57</f>
        <v>193540.671</v>
      </c>
      <c r="H55" s="3">
        <f t="shared" si="19"/>
        <v>193540.671</v>
      </c>
      <c r="I55" s="3">
        <f t="shared" si="19"/>
        <v>119178.257961</v>
      </c>
      <c r="J55" s="3">
        <f t="shared" si="19"/>
        <v>0</v>
      </c>
      <c r="K55" s="3">
        <f t="shared" si="19"/>
        <v>28189.093461</v>
      </c>
      <c r="L55" s="3">
        <f t="shared" si="19"/>
        <v>23363.8355</v>
      </c>
      <c r="M55" s="3">
        <f t="shared" si="19"/>
        <v>4825.257961</v>
      </c>
      <c r="N55" s="3">
        <f t="shared" si="19"/>
        <v>17555.171584</v>
      </c>
      <c r="O55" s="3">
        <f t="shared" si="19"/>
        <v>17555.171584</v>
      </c>
      <c r="P55" s="3">
        <f t="shared" si="19"/>
        <v>0</v>
      </c>
      <c r="Q55" s="3">
        <f t="shared" si="19"/>
        <v>28189.093461</v>
      </c>
      <c r="R55" s="3">
        <f t="shared" si="19"/>
        <v>23363.8355</v>
      </c>
      <c r="S55" s="3">
        <f t="shared" si="19"/>
        <v>4825.257961</v>
      </c>
      <c r="T55" s="138">
        <f t="shared" si="4"/>
        <v>100</v>
      </c>
      <c r="U55" s="139">
        <f aca="true" t="shared" si="20" ref="U55:U63">N55/K55*100</f>
        <v>62.27646734467649</v>
      </c>
      <c r="V55" s="31"/>
      <c r="W55" s="32"/>
      <c r="X55" s="41"/>
    </row>
    <row r="56" spans="1:23" ht="54" customHeight="1">
      <c r="A56" s="42" t="s">
        <v>92</v>
      </c>
      <c r="B56" s="28" t="s">
        <v>38</v>
      </c>
      <c r="C56" s="27" t="s">
        <v>28</v>
      </c>
      <c r="D56" s="27">
        <v>7601964</v>
      </c>
      <c r="E56" s="27" t="s">
        <v>70</v>
      </c>
      <c r="F56" s="33" t="s">
        <v>39</v>
      </c>
      <c r="G56" s="58">
        <v>114353</v>
      </c>
      <c r="H56" s="58">
        <v>114353</v>
      </c>
      <c r="I56" s="58">
        <v>114353</v>
      </c>
      <c r="J56" s="58"/>
      <c r="K56" s="58">
        <f>SUM(L56:M56)</f>
        <v>23363.8355</v>
      </c>
      <c r="L56" s="58">
        <v>23363.8355</v>
      </c>
      <c r="M56" s="58"/>
      <c r="N56" s="78">
        <f>O56+P56</f>
        <v>17555.171584</v>
      </c>
      <c r="O56" s="78">
        <f>13504.155+4051.016584</f>
        <v>17555.171584</v>
      </c>
      <c r="P56" s="78"/>
      <c r="Q56" s="58">
        <f>SUM(R56:S56)</f>
        <v>23363.8355</v>
      </c>
      <c r="R56" s="58">
        <v>23363.8355</v>
      </c>
      <c r="S56" s="58"/>
      <c r="T56" s="140">
        <f t="shared" si="4"/>
        <v>100</v>
      </c>
      <c r="U56" s="141">
        <f t="shared" si="20"/>
        <v>75.13822627282237</v>
      </c>
      <c r="V56" s="34"/>
      <c r="W56" s="43">
        <f>N56-V56</f>
        <v>17555.171584</v>
      </c>
    </row>
    <row r="57" spans="1:23" ht="66" customHeight="1">
      <c r="A57" s="42" t="s">
        <v>92</v>
      </c>
      <c r="B57" s="28" t="s">
        <v>263</v>
      </c>
      <c r="C57" s="27"/>
      <c r="D57" s="27"/>
      <c r="E57" s="27">
        <v>2018</v>
      </c>
      <c r="F57" s="33" t="s">
        <v>264</v>
      </c>
      <c r="G57" s="58">
        <v>79187.671</v>
      </c>
      <c r="H57" s="58">
        <v>79187.671</v>
      </c>
      <c r="I57" s="58">
        <f>K57</f>
        <v>4825.257961</v>
      </c>
      <c r="J57" s="58"/>
      <c r="K57" s="58">
        <f>L57+M57</f>
        <v>4825.257961</v>
      </c>
      <c r="L57" s="58"/>
      <c r="M57" s="58">
        <f>972.4+3852.857961</f>
        <v>4825.257961</v>
      </c>
      <c r="N57" s="78"/>
      <c r="O57" s="78"/>
      <c r="P57" s="78"/>
      <c r="Q57" s="58">
        <f>R57+S57</f>
        <v>4825.257961</v>
      </c>
      <c r="R57" s="58"/>
      <c r="S57" s="58">
        <f>972.4+3852.857961</f>
        <v>4825.257961</v>
      </c>
      <c r="T57" s="140">
        <f t="shared" si="4"/>
        <v>100</v>
      </c>
      <c r="U57" s="141"/>
      <c r="V57" s="37"/>
      <c r="W57" s="37"/>
    </row>
    <row r="58" spans="1:24" s="80" customFormat="1" ht="17.25" customHeight="1">
      <c r="A58" s="108" t="s">
        <v>37</v>
      </c>
      <c r="B58" s="108" t="s">
        <v>135</v>
      </c>
      <c r="C58" s="108"/>
      <c r="D58" s="108"/>
      <c r="E58" s="108"/>
      <c r="F58" s="108"/>
      <c r="G58" s="3">
        <f>SUM(G59:G61)</f>
        <v>21758.571616</v>
      </c>
      <c r="H58" s="3">
        <f aca="true" t="shared" si="21" ref="H58:P58">SUM(H59:H61)</f>
        <v>21758.571616</v>
      </c>
      <c r="I58" s="3">
        <f t="shared" si="21"/>
        <v>2514.571</v>
      </c>
      <c r="J58" s="3">
        <f t="shared" si="21"/>
        <v>0</v>
      </c>
      <c r="K58" s="3">
        <f t="shared" si="21"/>
        <v>1301.620231</v>
      </c>
      <c r="L58" s="3">
        <f t="shared" si="21"/>
        <v>1301.620231</v>
      </c>
      <c r="M58" s="3">
        <f t="shared" si="21"/>
        <v>0</v>
      </c>
      <c r="N58" s="3">
        <f t="shared" si="21"/>
        <v>1075.1562310000002</v>
      </c>
      <c r="O58" s="3">
        <f t="shared" si="21"/>
        <v>1075.1562310000002</v>
      </c>
      <c r="P58" s="3">
        <f t="shared" si="21"/>
        <v>0</v>
      </c>
      <c r="Q58" s="3">
        <f>SUM(Q59:Q61)</f>
        <v>1301.620231</v>
      </c>
      <c r="R58" s="3">
        <f>SUM(R59:R61)</f>
        <v>1301.620231</v>
      </c>
      <c r="S58" s="3">
        <f>SUM(S59:S61)</f>
        <v>0</v>
      </c>
      <c r="T58" s="138">
        <f t="shared" si="4"/>
        <v>100</v>
      </c>
      <c r="U58" s="139">
        <f t="shared" si="20"/>
        <v>82.60137676056144</v>
      </c>
      <c r="V58" s="18"/>
      <c r="W58" s="18"/>
      <c r="X58" s="18"/>
    </row>
    <row r="59" spans="1:24" s="102" customFormat="1" ht="30" customHeight="1">
      <c r="A59" s="98" t="s">
        <v>23</v>
      </c>
      <c r="B59" s="99" t="s">
        <v>259</v>
      </c>
      <c r="C59" s="98" t="s">
        <v>28</v>
      </c>
      <c r="D59" s="98">
        <v>7794632</v>
      </c>
      <c r="E59" s="98" t="s">
        <v>56</v>
      </c>
      <c r="F59" s="103" t="s">
        <v>98</v>
      </c>
      <c r="G59" s="100">
        <v>3613</v>
      </c>
      <c r="H59" s="100">
        <v>3613</v>
      </c>
      <c r="I59" s="100">
        <v>1081.451</v>
      </c>
      <c r="J59" s="100"/>
      <c r="K59" s="100">
        <f>SUM(L59:M59)</f>
        <v>1037.3310000000001</v>
      </c>
      <c r="L59" s="100">
        <f>472.549+564.383+44.519-44.12</f>
        <v>1037.3310000000001</v>
      </c>
      <c r="M59" s="100"/>
      <c r="N59" s="100">
        <f>SUM(O59:P59)</f>
        <v>854.9870000000001</v>
      </c>
      <c r="O59" s="100">
        <f>2822.451-O32-O43-O77-O65</f>
        <v>854.9870000000001</v>
      </c>
      <c r="P59" s="100"/>
      <c r="Q59" s="100">
        <f>SUM(R59:S59)</f>
        <v>1037.3310000000001</v>
      </c>
      <c r="R59" s="100">
        <f>472.549+564.383+44.519-44.12</f>
        <v>1037.3310000000001</v>
      </c>
      <c r="S59" s="100"/>
      <c r="T59" s="140">
        <f t="shared" si="4"/>
        <v>100</v>
      </c>
      <c r="U59" s="144">
        <f t="shared" si="20"/>
        <v>82.42181136011553</v>
      </c>
      <c r="V59" s="101"/>
      <c r="W59" s="101"/>
      <c r="X59" s="115"/>
    </row>
    <row r="60" spans="1:26" s="120" customFormat="1" ht="32.25" customHeight="1">
      <c r="A60" s="116" t="s">
        <v>23</v>
      </c>
      <c r="B60" s="117" t="s">
        <v>60</v>
      </c>
      <c r="C60" s="116" t="s">
        <v>28</v>
      </c>
      <c r="D60" s="116">
        <v>7733978</v>
      </c>
      <c r="E60" s="116" t="s">
        <v>33</v>
      </c>
      <c r="F60" s="116" t="s">
        <v>57</v>
      </c>
      <c r="G60" s="118">
        <v>4045.571616</v>
      </c>
      <c r="H60" s="118">
        <v>4045.571616</v>
      </c>
      <c r="I60" s="118">
        <v>1389</v>
      </c>
      <c r="J60" s="118">
        <v>0</v>
      </c>
      <c r="K60" s="118">
        <f>SUM(L60:M60)</f>
        <v>220.169231</v>
      </c>
      <c r="L60" s="118">
        <v>220.169231</v>
      </c>
      <c r="M60" s="118"/>
      <c r="N60" s="118">
        <f>SUM(O60:P60)</f>
        <v>220.169231</v>
      </c>
      <c r="O60" s="118">
        <v>220.169231</v>
      </c>
      <c r="P60" s="118"/>
      <c r="Q60" s="118">
        <f>SUM(R60:S60)</f>
        <v>220.169231</v>
      </c>
      <c r="R60" s="118">
        <v>220.169231</v>
      </c>
      <c r="S60" s="118"/>
      <c r="T60" s="140">
        <f t="shared" si="4"/>
        <v>100</v>
      </c>
      <c r="U60" s="145">
        <f t="shared" si="20"/>
        <v>100</v>
      </c>
      <c r="V60" s="119"/>
      <c r="W60" s="119"/>
      <c r="X60" s="119"/>
      <c r="Z60" s="102"/>
    </row>
    <row r="61" spans="1:24" s="137" customFormat="1" ht="32.25" customHeight="1">
      <c r="A61" s="129" t="s">
        <v>23</v>
      </c>
      <c r="B61" s="130" t="s">
        <v>197</v>
      </c>
      <c r="C61" s="131" t="s">
        <v>28</v>
      </c>
      <c r="D61" s="131">
        <v>7828198</v>
      </c>
      <c r="E61" s="131" t="s">
        <v>56</v>
      </c>
      <c r="F61" s="131" t="s">
        <v>198</v>
      </c>
      <c r="G61" s="132">
        <v>14100</v>
      </c>
      <c r="H61" s="132">
        <f>G61</f>
        <v>14100</v>
      </c>
      <c r="I61" s="132">
        <f>K61</f>
        <v>44.12</v>
      </c>
      <c r="J61" s="132"/>
      <c r="K61" s="132">
        <f>L61+M61</f>
        <v>44.12</v>
      </c>
      <c r="L61" s="132">
        <v>44.12</v>
      </c>
      <c r="M61" s="132"/>
      <c r="N61" s="133">
        <f>O61+P61</f>
        <v>0</v>
      </c>
      <c r="O61" s="133"/>
      <c r="P61" s="133">
        <v>0</v>
      </c>
      <c r="Q61" s="132">
        <f>R61+S61</f>
        <v>44.12</v>
      </c>
      <c r="R61" s="132">
        <v>44.12</v>
      </c>
      <c r="S61" s="132"/>
      <c r="T61" s="140">
        <f t="shared" si="4"/>
        <v>100</v>
      </c>
      <c r="U61" s="146">
        <f t="shared" si="20"/>
        <v>0</v>
      </c>
      <c r="V61" s="134"/>
      <c r="W61" s="135"/>
      <c r="X61" s="136"/>
    </row>
    <row r="62" spans="1:24" s="89" customFormat="1" ht="24.75" customHeight="1">
      <c r="A62" s="108" t="s">
        <v>146</v>
      </c>
      <c r="B62" s="108" t="s">
        <v>202</v>
      </c>
      <c r="C62" s="108"/>
      <c r="D62" s="108"/>
      <c r="E62" s="108"/>
      <c r="F62" s="106"/>
      <c r="G62" s="3">
        <f aca="true" t="shared" si="22" ref="G62:S64">SUM(G63:G63)</f>
        <v>3613</v>
      </c>
      <c r="H62" s="3">
        <f t="shared" si="22"/>
        <v>3613</v>
      </c>
      <c r="I62" s="3">
        <f t="shared" si="22"/>
        <v>115.953</v>
      </c>
      <c r="J62" s="3">
        <f t="shared" si="22"/>
        <v>0</v>
      </c>
      <c r="K62" s="3">
        <f t="shared" si="22"/>
        <v>115.953</v>
      </c>
      <c r="L62" s="3">
        <f t="shared" si="22"/>
        <v>115.953</v>
      </c>
      <c r="M62" s="3">
        <f t="shared" si="22"/>
        <v>0</v>
      </c>
      <c r="N62" s="3">
        <f t="shared" si="22"/>
        <v>115.953</v>
      </c>
      <c r="O62" s="3">
        <f t="shared" si="22"/>
        <v>115.953</v>
      </c>
      <c r="P62" s="3">
        <f t="shared" si="22"/>
        <v>0</v>
      </c>
      <c r="Q62" s="3">
        <f t="shared" si="22"/>
        <v>115.953</v>
      </c>
      <c r="R62" s="3">
        <f t="shared" si="22"/>
        <v>115.953</v>
      </c>
      <c r="S62" s="3">
        <f t="shared" si="22"/>
        <v>0</v>
      </c>
      <c r="T62" s="138">
        <f t="shared" si="4"/>
        <v>100</v>
      </c>
      <c r="U62" s="148">
        <f t="shared" si="20"/>
        <v>100</v>
      </c>
      <c r="V62" s="34"/>
      <c r="W62" s="32"/>
      <c r="X62" s="6"/>
    </row>
    <row r="63" spans="1:24" s="122" customFormat="1" ht="30" customHeight="1">
      <c r="A63" s="98" t="s">
        <v>23</v>
      </c>
      <c r="B63" s="99" t="s">
        <v>253</v>
      </c>
      <c r="C63" s="98" t="s">
        <v>28</v>
      </c>
      <c r="D63" s="98">
        <v>7794632</v>
      </c>
      <c r="E63" s="98" t="s">
        <v>56</v>
      </c>
      <c r="F63" s="103" t="s">
        <v>98</v>
      </c>
      <c r="G63" s="100">
        <v>3613</v>
      </c>
      <c r="H63" s="100">
        <v>3613</v>
      </c>
      <c r="I63" s="100">
        <v>115.953</v>
      </c>
      <c r="J63" s="100"/>
      <c r="K63" s="100">
        <f>L63</f>
        <v>115.953</v>
      </c>
      <c r="L63" s="100">
        <v>115.953</v>
      </c>
      <c r="M63" s="100"/>
      <c r="N63" s="100">
        <f>O63+P63</f>
        <v>115.953</v>
      </c>
      <c r="O63" s="100">
        <v>115.953</v>
      </c>
      <c r="P63" s="100"/>
      <c r="Q63" s="100">
        <f>R63</f>
        <v>115.953</v>
      </c>
      <c r="R63" s="100">
        <v>115.953</v>
      </c>
      <c r="S63" s="100"/>
      <c r="T63" s="140">
        <f t="shared" si="4"/>
        <v>100</v>
      </c>
      <c r="U63" s="149">
        <f t="shared" si="20"/>
        <v>100</v>
      </c>
      <c r="V63" s="101"/>
      <c r="W63" s="101"/>
      <c r="X63" s="115"/>
    </row>
    <row r="64" spans="1:24" s="89" customFormat="1" ht="24.75" customHeight="1">
      <c r="A64" s="111" t="s">
        <v>147</v>
      </c>
      <c r="B64" s="111" t="s">
        <v>254</v>
      </c>
      <c r="C64" s="111"/>
      <c r="D64" s="111"/>
      <c r="E64" s="111"/>
      <c r="F64" s="112"/>
      <c r="G64" s="3">
        <f t="shared" si="22"/>
        <v>3613</v>
      </c>
      <c r="H64" s="3">
        <f t="shared" si="22"/>
        <v>3613</v>
      </c>
      <c r="I64" s="3">
        <f t="shared" si="22"/>
        <v>293.638</v>
      </c>
      <c r="J64" s="3">
        <f t="shared" si="22"/>
        <v>0</v>
      </c>
      <c r="K64" s="3">
        <f t="shared" si="22"/>
        <v>293.638</v>
      </c>
      <c r="L64" s="3">
        <f t="shared" si="22"/>
        <v>293.638</v>
      </c>
      <c r="M64" s="3">
        <f t="shared" si="22"/>
        <v>0</v>
      </c>
      <c r="N64" s="3">
        <f t="shared" si="22"/>
        <v>293.638</v>
      </c>
      <c r="O64" s="3">
        <f t="shared" si="22"/>
        <v>293.638</v>
      </c>
      <c r="P64" s="3">
        <f t="shared" si="22"/>
        <v>0</v>
      </c>
      <c r="Q64" s="3">
        <f t="shared" si="22"/>
        <v>293.638</v>
      </c>
      <c r="R64" s="3">
        <f t="shared" si="22"/>
        <v>293.638</v>
      </c>
      <c r="S64" s="3">
        <f t="shared" si="22"/>
        <v>0</v>
      </c>
      <c r="T64" s="138">
        <f t="shared" si="4"/>
        <v>100</v>
      </c>
      <c r="U64" s="148">
        <f>N64/K64*100</f>
        <v>100</v>
      </c>
      <c r="V64" s="34"/>
      <c r="W64" s="32"/>
      <c r="X64" s="6"/>
    </row>
    <row r="65" spans="1:24" s="122" customFormat="1" ht="30" customHeight="1">
      <c r="A65" s="98" t="s">
        <v>23</v>
      </c>
      <c r="B65" s="99" t="s">
        <v>255</v>
      </c>
      <c r="C65" s="98" t="s">
        <v>28</v>
      </c>
      <c r="D65" s="98">
        <v>7794632</v>
      </c>
      <c r="E65" s="98" t="s">
        <v>56</v>
      </c>
      <c r="F65" s="103" t="s">
        <v>98</v>
      </c>
      <c r="G65" s="100">
        <v>3613</v>
      </c>
      <c r="H65" s="100">
        <v>3613</v>
      </c>
      <c r="I65" s="100">
        <v>293.638</v>
      </c>
      <c r="J65" s="100"/>
      <c r="K65" s="100">
        <f>L65</f>
        <v>293.638</v>
      </c>
      <c r="L65" s="100">
        <v>293.638</v>
      </c>
      <c r="M65" s="100"/>
      <c r="N65" s="100">
        <f>O65+P65</f>
        <v>293.638</v>
      </c>
      <c r="O65" s="100">
        <v>293.638</v>
      </c>
      <c r="P65" s="100"/>
      <c r="Q65" s="100">
        <f>R65</f>
        <v>293.638</v>
      </c>
      <c r="R65" s="100">
        <v>293.638</v>
      </c>
      <c r="S65" s="100"/>
      <c r="T65" s="140">
        <f t="shared" si="4"/>
        <v>100</v>
      </c>
      <c r="U65" s="149">
        <f>N65/K65*100</f>
        <v>100</v>
      </c>
      <c r="V65" s="101"/>
      <c r="W65" s="101"/>
      <c r="X65" s="115"/>
    </row>
    <row r="66" spans="1:23" ht="24" customHeight="1">
      <c r="A66" s="111" t="s">
        <v>153</v>
      </c>
      <c r="B66" s="108" t="s">
        <v>142</v>
      </c>
      <c r="C66" s="108"/>
      <c r="D66" s="108"/>
      <c r="E66" s="108"/>
      <c r="F66" s="106"/>
      <c r="G66" s="3">
        <f>G67+G68</f>
        <v>6348.492811</v>
      </c>
      <c r="H66" s="3">
        <f aca="true" t="shared" si="23" ref="H66:P66">H67+H68</f>
        <v>6348.492811</v>
      </c>
      <c r="I66" s="3">
        <f t="shared" si="23"/>
        <v>1468.205</v>
      </c>
      <c r="J66" s="3">
        <f t="shared" si="23"/>
        <v>0</v>
      </c>
      <c r="K66" s="3">
        <f t="shared" si="23"/>
        <v>365.327</v>
      </c>
      <c r="L66" s="3">
        <f t="shared" si="23"/>
        <v>365.327</v>
      </c>
      <c r="M66" s="3">
        <f t="shared" si="23"/>
        <v>0</v>
      </c>
      <c r="N66" s="3">
        <f t="shared" si="23"/>
        <v>253.682</v>
      </c>
      <c r="O66" s="3">
        <f t="shared" si="23"/>
        <v>253.682</v>
      </c>
      <c r="P66" s="3">
        <f t="shared" si="23"/>
        <v>0</v>
      </c>
      <c r="Q66" s="3">
        <f>Q67+Q68</f>
        <v>365.327</v>
      </c>
      <c r="R66" s="3">
        <f>R67+R68</f>
        <v>365.327</v>
      </c>
      <c r="S66" s="3">
        <f>S67+S68</f>
        <v>0</v>
      </c>
      <c r="T66" s="138">
        <f t="shared" si="4"/>
        <v>100</v>
      </c>
      <c r="U66" s="139">
        <f aca="true" t="shared" si="24" ref="U66:U84">N66/K66*100</f>
        <v>69.43970744018372</v>
      </c>
      <c r="V66" s="34"/>
      <c r="W66" s="32"/>
    </row>
    <row r="67" spans="1:23" ht="52.5" customHeight="1">
      <c r="A67" s="42" t="s">
        <v>23</v>
      </c>
      <c r="B67" s="45" t="s">
        <v>140</v>
      </c>
      <c r="C67" s="27" t="s">
        <v>28</v>
      </c>
      <c r="D67" s="27">
        <v>7787527</v>
      </c>
      <c r="E67" s="27">
        <v>2019</v>
      </c>
      <c r="F67" s="27" t="s">
        <v>141</v>
      </c>
      <c r="G67" s="58">
        <v>1356.56</v>
      </c>
      <c r="H67" s="58">
        <v>1356.56</v>
      </c>
      <c r="I67" s="58">
        <v>1356.56</v>
      </c>
      <c r="J67" s="58"/>
      <c r="K67" s="58">
        <f>L67+M67</f>
        <v>253.68200000000002</v>
      </c>
      <c r="L67" s="58">
        <f>365.327-111.645</f>
        <v>253.68200000000002</v>
      </c>
      <c r="M67" s="58"/>
      <c r="N67" s="78">
        <f>O67+P67</f>
        <v>253.682</v>
      </c>
      <c r="O67" s="78">
        <v>253.682</v>
      </c>
      <c r="P67" s="78"/>
      <c r="Q67" s="58">
        <f>R67+S67</f>
        <v>253.68200000000002</v>
      </c>
      <c r="R67" s="58">
        <f>365.327-111.645</f>
        <v>253.68200000000002</v>
      </c>
      <c r="S67" s="58"/>
      <c r="T67" s="140">
        <f t="shared" si="4"/>
        <v>100</v>
      </c>
      <c r="U67" s="141">
        <f t="shared" si="24"/>
        <v>99.99999999999999</v>
      </c>
      <c r="V67" s="34"/>
      <c r="W67" s="43"/>
    </row>
    <row r="68" spans="1:24" s="120" customFormat="1" ht="38.25" customHeight="1">
      <c r="A68" s="116" t="s">
        <v>23</v>
      </c>
      <c r="B68" s="117" t="s">
        <v>101</v>
      </c>
      <c r="C68" s="116" t="s">
        <v>28</v>
      </c>
      <c r="D68" s="116">
        <v>7562185</v>
      </c>
      <c r="E68" s="116" t="s">
        <v>56</v>
      </c>
      <c r="F68" s="116" t="s">
        <v>102</v>
      </c>
      <c r="G68" s="118">
        <v>4991.932811</v>
      </c>
      <c r="H68" s="118">
        <f>G68</f>
        <v>4991.932811</v>
      </c>
      <c r="I68" s="118">
        <v>111.645</v>
      </c>
      <c r="J68" s="118">
        <v>0</v>
      </c>
      <c r="K68" s="118">
        <f>L68+M68</f>
        <v>111.645</v>
      </c>
      <c r="L68" s="118">
        <v>111.645</v>
      </c>
      <c r="M68" s="118"/>
      <c r="N68" s="118">
        <f>SUM(O68:P68)</f>
        <v>0</v>
      </c>
      <c r="O68" s="118"/>
      <c r="P68" s="118"/>
      <c r="Q68" s="118">
        <f>R68+S68</f>
        <v>111.645</v>
      </c>
      <c r="R68" s="118">
        <v>111.645</v>
      </c>
      <c r="S68" s="118"/>
      <c r="T68" s="140">
        <f t="shared" si="4"/>
        <v>100</v>
      </c>
      <c r="U68" s="145">
        <f t="shared" si="24"/>
        <v>0</v>
      </c>
      <c r="V68" s="119"/>
      <c r="W68" s="119"/>
      <c r="X68" s="119"/>
    </row>
    <row r="69" spans="1:24" s="18" customFormat="1" ht="42.75">
      <c r="A69" s="111" t="s">
        <v>165</v>
      </c>
      <c r="B69" s="108" t="s">
        <v>145</v>
      </c>
      <c r="C69" s="108"/>
      <c r="D69" s="108"/>
      <c r="E69" s="108"/>
      <c r="F69" s="106"/>
      <c r="G69" s="3">
        <f>G70</f>
        <v>4996</v>
      </c>
      <c r="H69" s="3">
        <f aca="true" t="shared" si="25" ref="H69:S69">H70</f>
        <v>4996</v>
      </c>
      <c r="I69" s="3">
        <f t="shared" si="25"/>
        <v>4996</v>
      </c>
      <c r="J69" s="3">
        <f t="shared" si="25"/>
        <v>0</v>
      </c>
      <c r="K69" s="3">
        <f t="shared" si="25"/>
        <v>455.989</v>
      </c>
      <c r="L69" s="3">
        <f t="shared" si="25"/>
        <v>455.989</v>
      </c>
      <c r="M69" s="3">
        <f t="shared" si="25"/>
        <v>0</v>
      </c>
      <c r="N69" s="3">
        <f t="shared" si="25"/>
        <v>201.318</v>
      </c>
      <c r="O69" s="3">
        <f t="shared" si="25"/>
        <v>201.318</v>
      </c>
      <c r="P69" s="3">
        <f t="shared" si="25"/>
        <v>0</v>
      </c>
      <c r="Q69" s="3">
        <f t="shared" si="25"/>
        <v>201.31799999999998</v>
      </c>
      <c r="R69" s="3">
        <f t="shared" si="25"/>
        <v>201.31799999999998</v>
      </c>
      <c r="S69" s="3">
        <f t="shared" si="25"/>
        <v>0</v>
      </c>
      <c r="T69" s="138">
        <f t="shared" si="4"/>
        <v>44.149749226406776</v>
      </c>
      <c r="U69" s="139">
        <f t="shared" si="24"/>
        <v>44.14974922640678</v>
      </c>
      <c r="V69" s="31"/>
      <c r="W69" s="32"/>
      <c r="X69" s="41"/>
    </row>
    <row r="70" spans="1:23" ht="30.75" customHeight="1">
      <c r="A70" s="42" t="s">
        <v>23</v>
      </c>
      <c r="B70" s="45" t="s">
        <v>143</v>
      </c>
      <c r="C70" s="27" t="s">
        <v>28</v>
      </c>
      <c r="D70" s="27">
        <v>7770342</v>
      </c>
      <c r="E70" s="27" t="s">
        <v>56</v>
      </c>
      <c r="F70" s="27" t="s">
        <v>144</v>
      </c>
      <c r="G70" s="58">
        <v>4996</v>
      </c>
      <c r="H70" s="58">
        <v>4996</v>
      </c>
      <c r="I70" s="58">
        <v>4996</v>
      </c>
      <c r="J70" s="58">
        <v>0</v>
      </c>
      <c r="K70" s="58">
        <f>L70+M70</f>
        <v>455.989</v>
      </c>
      <c r="L70" s="58">
        <v>455.989</v>
      </c>
      <c r="M70" s="58"/>
      <c r="N70" s="78">
        <f>O70+P70</f>
        <v>201.318</v>
      </c>
      <c r="O70" s="78">
        <v>201.318</v>
      </c>
      <c r="P70" s="78"/>
      <c r="Q70" s="58">
        <f>R70+S70</f>
        <v>201.31799999999998</v>
      </c>
      <c r="R70" s="58">
        <f>455.989-254.671</f>
        <v>201.31799999999998</v>
      </c>
      <c r="S70" s="58"/>
      <c r="T70" s="140">
        <f t="shared" si="4"/>
        <v>44.149749226406776</v>
      </c>
      <c r="U70" s="141">
        <f t="shared" si="24"/>
        <v>44.14974922640678</v>
      </c>
      <c r="V70" s="34"/>
      <c r="W70" s="43"/>
    </row>
    <row r="71" spans="1:24" s="18" customFormat="1" ht="42.75">
      <c r="A71" s="111" t="s">
        <v>166</v>
      </c>
      <c r="B71" s="108" t="s">
        <v>152</v>
      </c>
      <c r="C71" s="108"/>
      <c r="D71" s="108"/>
      <c r="E71" s="108"/>
      <c r="F71" s="108"/>
      <c r="G71" s="3">
        <f>SUM(G72:G74)</f>
        <v>6970</v>
      </c>
      <c r="H71" s="3">
        <f aca="true" t="shared" si="26" ref="H71:P71">SUM(H72:H74)</f>
        <v>6970</v>
      </c>
      <c r="I71" s="3">
        <f t="shared" si="26"/>
        <v>6800</v>
      </c>
      <c r="J71" s="3">
        <f t="shared" si="26"/>
        <v>0</v>
      </c>
      <c r="K71" s="3">
        <f t="shared" si="26"/>
        <v>4632.357</v>
      </c>
      <c r="L71" s="3">
        <f t="shared" si="26"/>
        <v>4632.357</v>
      </c>
      <c r="M71" s="3">
        <f t="shared" si="26"/>
        <v>0</v>
      </c>
      <c r="N71" s="3">
        <f t="shared" si="26"/>
        <v>3026.9578</v>
      </c>
      <c r="O71" s="3">
        <f t="shared" si="26"/>
        <v>3026.9578</v>
      </c>
      <c r="P71" s="3">
        <f t="shared" si="26"/>
        <v>0</v>
      </c>
      <c r="Q71" s="3">
        <f>SUM(Q72:Q74)</f>
        <v>4220.9672</v>
      </c>
      <c r="R71" s="3">
        <f>SUM(R72:R74)</f>
        <v>4220.9672</v>
      </c>
      <c r="S71" s="3">
        <f>SUM(S72:S74)</f>
        <v>0</v>
      </c>
      <c r="T71" s="138">
        <f t="shared" si="4"/>
        <v>91.1192120987221</v>
      </c>
      <c r="U71" s="139">
        <f>N71/K71*100</f>
        <v>65.34379366702522</v>
      </c>
      <c r="V71" s="31"/>
      <c r="W71" s="32"/>
      <c r="X71" s="41"/>
    </row>
    <row r="72" spans="1:23" ht="52.5" customHeight="1">
      <c r="A72" s="42" t="s">
        <v>23</v>
      </c>
      <c r="B72" s="28" t="s">
        <v>148</v>
      </c>
      <c r="C72" s="27" t="s">
        <v>28</v>
      </c>
      <c r="D72" s="27">
        <v>7787527</v>
      </c>
      <c r="E72" s="27">
        <v>2019</v>
      </c>
      <c r="F72" s="27" t="s">
        <v>141</v>
      </c>
      <c r="G72" s="58">
        <v>3200</v>
      </c>
      <c r="H72" s="58">
        <v>3200</v>
      </c>
      <c r="I72" s="58">
        <v>3030</v>
      </c>
      <c r="J72" s="58"/>
      <c r="K72" s="58">
        <f>L72+M72</f>
        <v>910.472</v>
      </c>
      <c r="L72" s="58">
        <v>910.472</v>
      </c>
      <c r="M72" s="58"/>
      <c r="N72" s="78">
        <f>P72+O72</f>
        <v>791.53</v>
      </c>
      <c r="O72" s="78">
        <v>791.53</v>
      </c>
      <c r="P72" s="78"/>
      <c r="Q72" s="58">
        <f>R72+S72</f>
        <v>791.53</v>
      </c>
      <c r="R72" s="58">
        <f>910.472-118.942</f>
        <v>791.53</v>
      </c>
      <c r="S72" s="58"/>
      <c r="T72" s="140">
        <f t="shared" si="4"/>
        <v>86.93622648472441</v>
      </c>
      <c r="U72" s="141">
        <f t="shared" si="24"/>
        <v>86.93622648472441</v>
      </c>
      <c r="V72" s="34"/>
      <c r="W72" s="43"/>
    </row>
    <row r="73" spans="1:23" ht="30.75" customHeight="1">
      <c r="A73" s="42" t="s">
        <v>23</v>
      </c>
      <c r="B73" s="28" t="s">
        <v>196</v>
      </c>
      <c r="C73" s="27" t="s">
        <v>28</v>
      </c>
      <c r="D73" s="27">
        <v>7800538</v>
      </c>
      <c r="E73" s="27" t="s">
        <v>56</v>
      </c>
      <c r="F73" s="27" t="s">
        <v>149</v>
      </c>
      <c r="G73" s="58">
        <v>970</v>
      </c>
      <c r="H73" s="58">
        <v>970</v>
      </c>
      <c r="I73" s="58">
        <v>970</v>
      </c>
      <c r="J73" s="58"/>
      <c r="K73" s="58">
        <f>L73+M73</f>
        <v>921.885</v>
      </c>
      <c r="L73" s="58">
        <v>921.885</v>
      </c>
      <c r="M73" s="58"/>
      <c r="N73" s="78">
        <f>P73+O73</f>
        <v>824.633</v>
      </c>
      <c r="O73" s="78">
        <v>824.633</v>
      </c>
      <c r="P73" s="78"/>
      <c r="Q73" s="58">
        <f>R73+S73</f>
        <v>824.633</v>
      </c>
      <c r="R73" s="58">
        <f>O73</f>
        <v>824.633</v>
      </c>
      <c r="S73" s="58"/>
      <c r="T73" s="140">
        <f t="shared" si="4"/>
        <v>89.45074494107183</v>
      </c>
      <c r="U73" s="141">
        <f t="shared" si="24"/>
        <v>89.45074494107183</v>
      </c>
      <c r="V73" s="34"/>
      <c r="W73" s="43"/>
    </row>
    <row r="74" spans="1:26" ht="30.75" customHeight="1">
      <c r="A74" s="42" t="s">
        <v>23</v>
      </c>
      <c r="B74" s="28" t="s">
        <v>150</v>
      </c>
      <c r="C74" s="27" t="s">
        <v>28</v>
      </c>
      <c r="D74" s="27">
        <v>7800539</v>
      </c>
      <c r="E74" s="27">
        <v>2019</v>
      </c>
      <c r="F74" s="27" t="s">
        <v>151</v>
      </c>
      <c r="G74" s="58">
        <v>2800</v>
      </c>
      <c r="H74" s="58">
        <v>2800</v>
      </c>
      <c r="I74" s="58">
        <v>2800</v>
      </c>
      <c r="J74" s="58"/>
      <c r="K74" s="58">
        <f>L74+M74</f>
        <v>2800</v>
      </c>
      <c r="L74" s="58">
        <v>2800</v>
      </c>
      <c r="M74" s="58"/>
      <c r="N74" s="78">
        <f>P74+O74</f>
        <v>1410.7948</v>
      </c>
      <c r="O74" s="78">
        <v>1410.7948</v>
      </c>
      <c r="P74" s="78"/>
      <c r="Q74" s="58">
        <f>R74+S74</f>
        <v>2604.8042</v>
      </c>
      <c r="R74" s="58">
        <f>2800-195.1958</f>
        <v>2604.8042</v>
      </c>
      <c r="S74" s="58"/>
      <c r="T74" s="140">
        <f t="shared" si="4"/>
        <v>93.02872142857143</v>
      </c>
      <c r="U74" s="141">
        <f t="shared" si="24"/>
        <v>50.38552857142857</v>
      </c>
      <c r="V74" s="34"/>
      <c r="W74" s="43"/>
      <c r="Z74" s="26"/>
    </row>
    <row r="75" spans="1:21" s="73" customFormat="1" ht="24.75" customHeight="1">
      <c r="A75" s="111" t="s">
        <v>203</v>
      </c>
      <c r="B75" s="30" t="s">
        <v>154</v>
      </c>
      <c r="C75" s="108"/>
      <c r="D75" s="108"/>
      <c r="E75" s="108"/>
      <c r="F75" s="108"/>
      <c r="G75" s="3">
        <f>SUM(G76:G82)</f>
        <v>11851.239616</v>
      </c>
      <c r="H75" s="3">
        <f aca="true" t="shared" si="27" ref="H75:P75">SUM(H76:H82)</f>
        <v>11851.239616</v>
      </c>
      <c r="I75" s="3">
        <f t="shared" si="27"/>
        <v>10441.239615999999</v>
      </c>
      <c r="J75" s="3">
        <f t="shared" si="27"/>
        <v>0</v>
      </c>
      <c r="K75" s="3">
        <f t="shared" si="27"/>
        <v>1659.0890000000002</v>
      </c>
      <c r="L75" s="3">
        <f>SUM(L76:L82)</f>
        <v>1659.0890000000002</v>
      </c>
      <c r="M75" s="3">
        <f t="shared" si="27"/>
        <v>0</v>
      </c>
      <c r="N75" s="3">
        <f t="shared" si="27"/>
        <v>1655.0890000000002</v>
      </c>
      <c r="O75" s="3">
        <f t="shared" si="27"/>
        <v>1655.0890000000002</v>
      </c>
      <c r="P75" s="3">
        <f t="shared" si="27"/>
        <v>0</v>
      </c>
      <c r="Q75" s="3">
        <f>SUM(Q76:Q82)</f>
        <v>1655.0890000000002</v>
      </c>
      <c r="R75" s="3">
        <f>SUM(R76:R82)</f>
        <v>1655.0890000000002</v>
      </c>
      <c r="S75" s="3">
        <f>SUM(S76:S82)</f>
        <v>0</v>
      </c>
      <c r="T75" s="138">
        <f t="shared" si="4"/>
        <v>99.75890383216331</v>
      </c>
      <c r="U75" s="139">
        <f>N75/K75*100</f>
        <v>99.75890383216331</v>
      </c>
    </row>
    <row r="76" spans="1:21" s="124" customFormat="1" ht="35.25" customHeight="1">
      <c r="A76" s="116" t="s">
        <v>23</v>
      </c>
      <c r="B76" s="117" t="s">
        <v>60</v>
      </c>
      <c r="C76" s="116" t="s">
        <v>28</v>
      </c>
      <c r="D76" s="116">
        <v>7733978</v>
      </c>
      <c r="E76" s="116" t="s">
        <v>33</v>
      </c>
      <c r="F76" s="116" t="s">
        <v>57</v>
      </c>
      <c r="G76" s="118">
        <v>4045.571616</v>
      </c>
      <c r="H76" s="118">
        <v>4045.571616</v>
      </c>
      <c r="I76" s="118">
        <f aca="true" t="shared" si="28" ref="I76:I82">H76</f>
        <v>4045.571616</v>
      </c>
      <c r="J76" s="118"/>
      <c r="K76" s="118">
        <f aca="true" t="shared" si="29" ref="K76:K84">L76+M76</f>
        <v>714</v>
      </c>
      <c r="L76" s="118">
        <v>714</v>
      </c>
      <c r="M76" s="118"/>
      <c r="N76" s="118">
        <f aca="true" t="shared" si="30" ref="N76:N84">O76+P76</f>
        <v>714</v>
      </c>
      <c r="O76" s="118">
        <v>714</v>
      </c>
      <c r="P76" s="118">
        <v>0</v>
      </c>
      <c r="Q76" s="118">
        <f>R76+S76</f>
        <v>714</v>
      </c>
      <c r="R76" s="118">
        <v>714</v>
      </c>
      <c r="S76" s="118"/>
      <c r="T76" s="140">
        <f t="shared" si="4"/>
        <v>100</v>
      </c>
      <c r="U76" s="145">
        <f t="shared" si="24"/>
        <v>100</v>
      </c>
    </row>
    <row r="77" spans="1:26" s="102" customFormat="1" ht="30" customHeight="1">
      <c r="A77" s="98" t="s">
        <v>23</v>
      </c>
      <c r="B77" s="99" t="s">
        <v>91</v>
      </c>
      <c r="C77" s="98" t="s">
        <v>28</v>
      </c>
      <c r="D77" s="98">
        <v>7794632</v>
      </c>
      <c r="E77" s="98" t="s">
        <v>56</v>
      </c>
      <c r="F77" s="103" t="s">
        <v>98</v>
      </c>
      <c r="G77" s="100">
        <v>3613</v>
      </c>
      <c r="H77" s="100">
        <v>3613</v>
      </c>
      <c r="I77" s="100">
        <v>2203</v>
      </c>
      <c r="J77" s="100"/>
      <c r="K77" s="100">
        <f>SUM(L77:M77)</f>
        <v>858.148</v>
      </c>
      <c r="L77" s="100">
        <v>858.148</v>
      </c>
      <c r="M77" s="100"/>
      <c r="N77" s="100">
        <f>SUM(O77:P77)</f>
        <v>858.148</v>
      </c>
      <c r="O77" s="100">
        <v>858.148</v>
      </c>
      <c r="P77" s="100"/>
      <c r="Q77" s="100">
        <f>SUM(R77:S77)</f>
        <v>858.148</v>
      </c>
      <c r="R77" s="100">
        <v>858.148</v>
      </c>
      <c r="S77" s="100"/>
      <c r="T77" s="140">
        <f t="shared" si="4"/>
        <v>100</v>
      </c>
      <c r="U77" s="144">
        <f t="shared" si="24"/>
        <v>100</v>
      </c>
      <c r="V77" s="101"/>
      <c r="W77" s="101"/>
      <c r="X77" s="115"/>
      <c r="Z77" s="123"/>
    </row>
    <row r="78" spans="1:21" s="66" customFormat="1" ht="30">
      <c r="A78" s="42" t="s">
        <v>23</v>
      </c>
      <c r="B78" s="28" t="s">
        <v>155</v>
      </c>
      <c r="C78" s="27" t="s">
        <v>28</v>
      </c>
      <c r="D78" s="27">
        <v>7621055</v>
      </c>
      <c r="E78" s="27" t="s">
        <v>32</v>
      </c>
      <c r="F78" s="27" t="s">
        <v>156</v>
      </c>
      <c r="G78" s="58">
        <f>H78</f>
        <v>624.517</v>
      </c>
      <c r="H78" s="58">
        <v>624.517</v>
      </c>
      <c r="I78" s="58">
        <f t="shared" si="28"/>
        <v>624.517</v>
      </c>
      <c r="J78" s="58"/>
      <c r="K78" s="58">
        <f t="shared" si="29"/>
        <v>5.932</v>
      </c>
      <c r="L78" s="58">
        <v>5.932</v>
      </c>
      <c r="M78" s="58"/>
      <c r="N78" s="78">
        <f t="shared" si="30"/>
        <v>5.932</v>
      </c>
      <c r="O78" s="78">
        <v>5.932</v>
      </c>
      <c r="P78" s="78">
        <v>0</v>
      </c>
      <c r="Q78" s="58">
        <f>R78+S78</f>
        <v>5.932</v>
      </c>
      <c r="R78" s="58">
        <v>5.932</v>
      </c>
      <c r="S78" s="58"/>
      <c r="T78" s="140">
        <f aca="true" t="shared" si="31" ref="T78:T135">Q78/K78*100</f>
        <v>100</v>
      </c>
      <c r="U78" s="141">
        <f t="shared" si="24"/>
        <v>100</v>
      </c>
    </row>
    <row r="79" spans="1:26" s="66" customFormat="1" ht="30">
      <c r="A79" s="42" t="s">
        <v>23</v>
      </c>
      <c r="B79" s="28" t="s">
        <v>157</v>
      </c>
      <c r="C79" s="27" t="s">
        <v>28</v>
      </c>
      <c r="D79" s="27">
        <v>7619302</v>
      </c>
      <c r="E79" s="27" t="s">
        <v>32</v>
      </c>
      <c r="F79" s="27" t="s">
        <v>158</v>
      </c>
      <c r="G79" s="58">
        <f>H79</f>
        <v>1259.11</v>
      </c>
      <c r="H79" s="58">
        <v>1259.11</v>
      </c>
      <c r="I79" s="58">
        <f t="shared" si="28"/>
        <v>1259.11</v>
      </c>
      <c r="J79" s="58"/>
      <c r="K79" s="58">
        <f t="shared" si="29"/>
        <v>28.14</v>
      </c>
      <c r="L79" s="58">
        <v>28.14</v>
      </c>
      <c r="M79" s="58"/>
      <c r="N79" s="78">
        <f t="shared" si="30"/>
        <v>28.14</v>
      </c>
      <c r="O79" s="78">
        <v>28.14</v>
      </c>
      <c r="P79" s="78">
        <v>0</v>
      </c>
      <c r="Q79" s="58">
        <f>R79+S79</f>
        <v>28.14</v>
      </c>
      <c r="R79" s="58">
        <v>28.14</v>
      </c>
      <c r="S79" s="58"/>
      <c r="T79" s="140">
        <f t="shared" si="31"/>
        <v>100</v>
      </c>
      <c r="U79" s="141">
        <f t="shared" si="24"/>
        <v>100</v>
      </c>
      <c r="Z79" s="114"/>
    </row>
    <row r="80" spans="1:21" s="66" customFormat="1" ht="30">
      <c r="A80" s="42" t="s">
        <v>23</v>
      </c>
      <c r="B80" s="28" t="s">
        <v>159</v>
      </c>
      <c r="C80" s="27" t="s">
        <v>28</v>
      </c>
      <c r="D80" s="27">
        <v>7619301</v>
      </c>
      <c r="E80" s="27" t="s">
        <v>32</v>
      </c>
      <c r="F80" s="27" t="s">
        <v>160</v>
      </c>
      <c r="G80" s="58">
        <f>H80</f>
        <v>1259.041</v>
      </c>
      <c r="H80" s="58">
        <v>1259.041</v>
      </c>
      <c r="I80" s="58">
        <f t="shared" si="28"/>
        <v>1259.041</v>
      </c>
      <c r="J80" s="58"/>
      <c r="K80" s="58">
        <f t="shared" si="29"/>
        <v>28.139</v>
      </c>
      <c r="L80" s="58">
        <v>28.139</v>
      </c>
      <c r="M80" s="58"/>
      <c r="N80" s="78">
        <f t="shared" si="30"/>
        <v>28.139</v>
      </c>
      <c r="O80" s="78">
        <v>28.139</v>
      </c>
      <c r="P80" s="78">
        <v>0</v>
      </c>
      <c r="Q80" s="58">
        <f>R80+S80</f>
        <v>28.139</v>
      </c>
      <c r="R80" s="58">
        <v>28.139</v>
      </c>
      <c r="S80" s="58"/>
      <c r="T80" s="140">
        <f t="shared" si="31"/>
        <v>100</v>
      </c>
      <c r="U80" s="141">
        <f t="shared" si="24"/>
        <v>100</v>
      </c>
    </row>
    <row r="81" spans="1:21" s="66" customFormat="1" ht="30">
      <c r="A81" s="42" t="s">
        <v>23</v>
      </c>
      <c r="B81" s="28" t="s">
        <v>161</v>
      </c>
      <c r="C81" s="27" t="s">
        <v>28</v>
      </c>
      <c r="D81" s="27">
        <v>7708112</v>
      </c>
      <c r="E81" s="27" t="s">
        <v>33</v>
      </c>
      <c r="F81" s="27" t="s">
        <v>162</v>
      </c>
      <c r="G81" s="58">
        <f>H81</f>
        <v>500</v>
      </c>
      <c r="H81" s="58">
        <v>500</v>
      </c>
      <c r="I81" s="58">
        <f t="shared" si="28"/>
        <v>500</v>
      </c>
      <c r="J81" s="58"/>
      <c r="K81" s="58">
        <f t="shared" si="29"/>
        <v>15.505</v>
      </c>
      <c r="L81" s="58">
        <v>15.505</v>
      </c>
      <c r="M81" s="58"/>
      <c r="N81" s="78">
        <f t="shared" si="30"/>
        <v>15.505</v>
      </c>
      <c r="O81" s="78">
        <v>15.505</v>
      </c>
      <c r="P81" s="78">
        <v>0</v>
      </c>
      <c r="Q81" s="58">
        <f>R81+S81</f>
        <v>15.505</v>
      </c>
      <c r="R81" s="58">
        <v>15.505</v>
      </c>
      <c r="S81" s="58"/>
      <c r="T81" s="140">
        <f t="shared" si="31"/>
        <v>100</v>
      </c>
      <c r="U81" s="141">
        <f t="shared" si="24"/>
        <v>100</v>
      </c>
    </row>
    <row r="82" spans="1:21" s="66" customFormat="1" ht="30">
      <c r="A82" s="42" t="s">
        <v>23</v>
      </c>
      <c r="B82" s="28" t="s">
        <v>163</v>
      </c>
      <c r="C82" s="27" t="s">
        <v>28</v>
      </c>
      <c r="D82" s="27">
        <v>7658757</v>
      </c>
      <c r="E82" s="27" t="s">
        <v>32</v>
      </c>
      <c r="F82" s="27" t="s">
        <v>164</v>
      </c>
      <c r="G82" s="58">
        <f>H82</f>
        <v>550</v>
      </c>
      <c r="H82" s="58">
        <v>550</v>
      </c>
      <c r="I82" s="58">
        <f t="shared" si="28"/>
        <v>550</v>
      </c>
      <c r="J82" s="58"/>
      <c r="K82" s="58">
        <f t="shared" si="29"/>
        <v>9.225</v>
      </c>
      <c r="L82" s="58">
        <v>9.225</v>
      </c>
      <c r="M82" s="58"/>
      <c r="N82" s="78">
        <f t="shared" si="30"/>
        <v>5.225</v>
      </c>
      <c r="O82" s="78">
        <v>5.225</v>
      </c>
      <c r="P82" s="78">
        <v>0</v>
      </c>
      <c r="Q82" s="58">
        <f>R82+S82</f>
        <v>5.225</v>
      </c>
      <c r="R82" s="58">
        <f>O82</f>
        <v>5.225</v>
      </c>
      <c r="S82" s="58"/>
      <c r="T82" s="140">
        <f t="shared" si="31"/>
        <v>56.639566395663955</v>
      </c>
      <c r="U82" s="141">
        <f t="shared" si="24"/>
        <v>56.639566395663955</v>
      </c>
    </row>
    <row r="83" spans="1:21" s="73" customFormat="1" ht="24.75" customHeight="1">
      <c r="A83" s="111" t="s">
        <v>248</v>
      </c>
      <c r="B83" s="30" t="s">
        <v>245</v>
      </c>
      <c r="C83" s="108"/>
      <c r="D83" s="108"/>
      <c r="E83" s="108"/>
      <c r="F83" s="108"/>
      <c r="G83" s="3">
        <f>G84</f>
        <v>1000</v>
      </c>
      <c r="H83" s="3">
        <f aca="true" t="shared" si="32" ref="H83:S83">H84</f>
        <v>1000</v>
      </c>
      <c r="I83" s="3">
        <f t="shared" si="32"/>
        <v>1000</v>
      </c>
      <c r="J83" s="3">
        <f t="shared" si="32"/>
        <v>0</v>
      </c>
      <c r="K83" s="3">
        <f t="shared" si="32"/>
        <v>1000</v>
      </c>
      <c r="L83" s="3">
        <f t="shared" si="32"/>
        <v>0</v>
      </c>
      <c r="M83" s="3">
        <f t="shared" si="32"/>
        <v>1000</v>
      </c>
      <c r="N83" s="3">
        <f t="shared" si="32"/>
        <v>0</v>
      </c>
      <c r="O83" s="3">
        <f t="shared" si="32"/>
        <v>0</v>
      </c>
      <c r="P83" s="3">
        <f t="shared" si="32"/>
        <v>0</v>
      </c>
      <c r="Q83" s="3">
        <f t="shared" si="32"/>
        <v>1000</v>
      </c>
      <c r="R83" s="3">
        <f t="shared" si="32"/>
        <v>0</v>
      </c>
      <c r="S83" s="3">
        <f t="shared" si="32"/>
        <v>1000</v>
      </c>
      <c r="T83" s="138">
        <f t="shared" si="31"/>
        <v>100</v>
      </c>
      <c r="U83" s="139">
        <f t="shared" si="24"/>
        <v>0</v>
      </c>
    </row>
    <row r="84" spans="1:21" s="66" customFormat="1" ht="24" customHeight="1">
      <c r="A84" s="42" t="s">
        <v>23</v>
      </c>
      <c r="B84" s="28" t="s">
        <v>246</v>
      </c>
      <c r="C84" s="27"/>
      <c r="D84" s="27"/>
      <c r="E84" s="27"/>
      <c r="F84" s="27" t="s">
        <v>247</v>
      </c>
      <c r="G84" s="58">
        <v>1000</v>
      </c>
      <c r="H84" s="58">
        <v>1000</v>
      </c>
      <c r="I84" s="58">
        <v>1000</v>
      </c>
      <c r="J84" s="58"/>
      <c r="K84" s="58">
        <f t="shared" si="29"/>
        <v>1000</v>
      </c>
      <c r="L84" s="58"/>
      <c r="M84" s="58">
        <v>1000</v>
      </c>
      <c r="N84" s="58">
        <f t="shared" si="30"/>
        <v>0</v>
      </c>
      <c r="O84" s="58"/>
      <c r="P84" s="58"/>
      <c r="Q84" s="58">
        <f>R84+S84</f>
        <v>1000</v>
      </c>
      <c r="R84" s="58"/>
      <c r="S84" s="58">
        <v>1000</v>
      </c>
      <c r="T84" s="140">
        <f t="shared" si="31"/>
        <v>100</v>
      </c>
      <c r="U84" s="141">
        <f t="shared" si="24"/>
        <v>0</v>
      </c>
    </row>
    <row r="85" spans="1:24" s="18" customFormat="1" ht="28.5">
      <c r="A85" s="111" t="s">
        <v>256</v>
      </c>
      <c r="B85" s="108" t="s">
        <v>88</v>
      </c>
      <c r="C85" s="108"/>
      <c r="D85" s="108"/>
      <c r="E85" s="108"/>
      <c r="F85" s="106"/>
      <c r="G85" s="3">
        <f aca="true" t="shared" si="33" ref="G85:P85">G86+G128</f>
        <v>61392.032307</v>
      </c>
      <c r="H85" s="3">
        <f t="shared" si="33"/>
        <v>54291.177468</v>
      </c>
      <c r="I85" s="3">
        <f t="shared" si="33"/>
        <v>58733.832307000004</v>
      </c>
      <c r="J85" s="3">
        <f t="shared" si="33"/>
        <v>3274.725309</v>
      </c>
      <c r="K85" s="3">
        <f t="shared" si="33"/>
        <v>35114.06026</v>
      </c>
      <c r="L85" s="3">
        <f t="shared" si="33"/>
        <v>1010.0602600000001</v>
      </c>
      <c r="M85" s="3">
        <f t="shared" si="33"/>
        <v>34104</v>
      </c>
      <c r="N85" s="3">
        <f t="shared" si="33"/>
        <v>30422.267151000004</v>
      </c>
      <c r="O85" s="3">
        <f t="shared" si="33"/>
        <v>329.831</v>
      </c>
      <c r="P85" s="3">
        <f t="shared" si="33"/>
        <v>30092.436150999998</v>
      </c>
      <c r="Q85" s="3">
        <f>Q86+Q128</f>
        <v>33925.058569</v>
      </c>
      <c r="R85" s="3">
        <f>R86+R128</f>
        <v>481.645569</v>
      </c>
      <c r="S85" s="3">
        <f>S86+S128</f>
        <v>33443.413</v>
      </c>
      <c r="T85" s="138">
        <f t="shared" si="31"/>
        <v>96.61388719448533</v>
      </c>
      <c r="U85" s="143">
        <f>N85/K85*100</f>
        <v>86.6384204097735</v>
      </c>
      <c r="V85" s="31">
        <v>5923.3572030000005</v>
      </c>
      <c r="W85" s="32">
        <f>N85-V85</f>
        <v>24498.909948000004</v>
      </c>
      <c r="X85" s="41"/>
    </row>
    <row r="86" spans="1:24" s="7" customFormat="1" ht="33" customHeight="1">
      <c r="A86" s="111" t="s">
        <v>257</v>
      </c>
      <c r="B86" s="108" t="s">
        <v>19</v>
      </c>
      <c r="C86" s="108"/>
      <c r="D86" s="108"/>
      <c r="E86" s="108"/>
      <c r="F86" s="106"/>
      <c r="G86" s="3">
        <f>G87</f>
        <v>52168.732307</v>
      </c>
      <c r="H86" s="3">
        <f aca="true" t="shared" si="34" ref="H86:S86">H87</f>
        <v>47077.177468</v>
      </c>
      <c r="I86" s="3">
        <f t="shared" si="34"/>
        <v>51519.832307000004</v>
      </c>
      <c r="J86" s="3">
        <f t="shared" si="34"/>
        <v>2236.725309</v>
      </c>
      <c r="K86" s="3">
        <f t="shared" si="34"/>
        <v>31754.10826</v>
      </c>
      <c r="L86" s="3">
        <f t="shared" si="34"/>
        <v>649.1082600000001</v>
      </c>
      <c r="M86" s="3">
        <f t="shared" si="34"/>
        <v>31105</v>
      </c>
      <c r="N86" s="3">
        <f t="shared" si="34"/>
        <v>28074.108151000004</v>
      </c>
      <c r="O86" s="3">
        <f t="shared" si="34"/>
        <v>68.65700000000001</v>
      </c>
      <c r="P86" s="3">
        <f t="shared" si="34"/>
        <v>28005.451150999997</v>
      </c>
      <c r="Q86" s="3">
        <f t="shared" si="34"/>
        <v>30758.081569</v>
      </c>
      <c r="R86" s="3">
        <f t="shared" si="34"/>
        <v>220.47156900000002</v>
      </c>
      <c r="S86" s="3">
        <f t="shared" si="34"/>
        <v>30537.61</v>
      </c>
      <c r="T86" s="138">
        <f t="shared" si="31"/>
        <v>96.86331392824948</v>
      </c>
      <c r="U86" s="143">
        <f>N86/K86*100</f>
        <v>88.41094802956373</v>
      </c>
      <c r="V86" s="31">
        <v>0</v>
      </c>
      <c r="W86" s="32">
        <f>N86-V86</f>
        <v>28074.108151000004</v>
      </c>
      <c r="X86" s="44">
        <f>K86-K87</f>
        <v>0</v>
      </c>
    </row>
    <row r="87" spans="1:24" s="7" customFormat="1" ht="21" customHeight="1">
      <c r="A87" s="108"/>
      <c r="B87" s="108" t="s">
        <v>48</v>
      </c>
      <c r="C87" s="108"/>
      <c r="D87" s="108"/>
      <c r="E87" s="108"/>
      <c r="F87" s="106"/>
      <c r="G87" s="3">
        <f>SUM(G88:G127)</f>
        <v>52168.732307</v>
      </c>
      <c r="H87" s="3">
        <f aca="true" t="shared" si="35" ref="H87:P87">SUM(H88:H127)</f>
        <v>47077.177468</v>
      </c>
      <c r="I87" s="3">
        <f t="shared" si="35"/>
        <v>51519.832307000004</v>
      </c>
      <c r="J87" s="3">
        <f t="shared" si="35"/>
        <v>2236.725309</v>
      </c>
      <c r="K87" s="3">
        <f t="shared" si="35"/>
        <v>31754.10826</v>
      </c>
      <c r="L87" s="3">
        <f t="shared" si="35"/>
        <v>649.1082600000001</v>
      </c>
      <c r="M87" s="3">
        <f t="shared" si="35"/>
        <v>31105</v>
      </c>
      <c r="N87" s="3">
        <f t="shared" si="35"/>
        <v>28074.108151000004</v>
      </c>
      <c r="O87" s="3">
        <f t="shared" si="35"/>
        <v>68.65700000000001</v>
      </c>
      <c r="P87" s="3">
        <f t="shared" si="35"/>
        <v>28005.451150999997</v>
      </c>
      <c r="Q87" s="3">
        <f>SUM(Q88:Q127)</f>
        <v>30758.081569</v>
      </c>
      <c r="R87" s="3">
        <f>SUM(R88:R127)</f>
        <v>220.47156900000002</v>
      </c>
      <c r="S87" s="3">
        <f>SUM(S88:S127)</f>
        <v>30537.61</v>
      </c>
      <c r="T87" s="138">
        <f t="shared" si="31"/>
        <v>96.86331392824948</v>
      </c>
      <c r="U87" s="139">
        <f>N87/K87*100</f>
        <v>88.41094802956373</v>
      </c>
      <c r="V87" s="31">
        <v>0</v>
      </c>
      <c r="W87" s="32">
        <f>N87-V87</f>
        <v>28074.108151000004</v>
      </c>
      <c r="X87" s="105"/>
    </row>
    <row r="88" spans="1:24" s="9" customFormat="1" ht="45">
      <c r="A88" s="27">
        <v>1</v>
      </c>
      <c r="B88" s="45" t="s">
        <v>167</v>
      </c>
      <c r="C88" s="27" t="s">
        <v>28</v>
      </c>
      <c r="D88" s="27">
        <v>7710216</v>
      </c>
      <c r="E88" s="27" t="s">
        <v>33</v>
      </c>
      <c r="F88" s="33" t="s">
        <v>238</v>
      </c>
      <c r="G88" s="74">
        <v>3913.4</v>
      </c>
      <c r="H88" s="74">
        <v>3761</v>
      </c>
      <c r="I88" s="74">
        <v>3761</v>
      </c>
      <c r="J88" s="58">
        <v>2236.725309</v>
      </c>
      <c r="K88" s="58">
        <f aca="true" t="shared" si="36" ref="K88:K127">L88+M88</f>
        <v>323.180691</v>
      </c>
      <c r="L88" s="58">
        <v>323.180691</v>
      </c>
      <c r="M88" s="58"/>
      <c r="N88" s="58">
        <f>O88+P88</f>
        <v>0</v>
      </c>
      <c r="O88" s="58"/>
      <c r="P88" s="58"/>
      <c r="Q88" s="58">
        <f aca="true" t="shared" si="37" ref="Q88:Q101">R88+S88</f>
        <v>0</v>
      </c>
      <c r="R88" s="58"/>
      <c r="S88" s="58">
        <v>0</v>
      </c>
      <c r="T88" s="140">
        <f t="shared" si="31"/>
        <v>0</v>
      </c>
      <c r="U88" s="141">
        <f aca="true" t="shared" si="38" ref="U88:U127">N88/K88*100</f>
        <v>0</v>
      </c>
      <c r="V88" s="34"/>
      <c r="W88" s="43"/>
      <c r="X88" s="35"/>
    </row>
    <row r="89" spans="1:26" ht="52.5" customHeight="1">
      <c r="A89" s="27">
        <v>2</v>
      </c>
      <c r="B89" s="45" t="s">
        <v>168</v>
      </c>
      <c r="C89" s="27" t="s">
        <v>28</v>
      </c>
      <c r="D89" s="27">
        <v>7755682</v>
      </c>
      <c r="E89" s="27">
        <v>2019</v>
      </c>
      <c r="F89" s="33" t="s">
        <v>239</v>
      </c>
      <c r="G89" s="74">
        <v>715</v>
      </c>
      <c r="H89" s="74">
        <v>650</v>
      </c>
      <c r="I89" s="74">
        <v>650</v>
      </c>
      <c r="J89" s="58"/>
      <c r="K89" s="58">
        <f t="shared" si="36"/>
        <v>19.156569</v>
      </c>
      <c r="L89" s="58">
        <v>19.156569</v>
      </c>
      <c r="M89" s="58"/>
      <c r="N89" s="58">
        <f aca="true" t="shared" si="39" ref="N89:N126">O89+P89</f>
        <v>0</v>
      </c>
      <c r="O89" s="58"/>
      <c r="P89" s="58"/>
      <c r="Q89" s="58">
        <f t="shared" si="37"/>
        <v>19.156569</v>
      </c>
      <c r="R89" s="58">
        <v>19.156569</v>
      </c>
      <c r="S89" s="58">
        <v>0</v>
      </c>
      <c r="T89" s="140">
        <f t="shared" si="31"/>
        <v>100</v>
      </c>
      <c r="U89" s="141">
        <f t="shared" si="38"/>
        <v>0</v>
      </c>
      <c r="V89" s="34"/>
      <c r="W89" s="43"/>
      <c r="Z89" s="26"/>
    </row>
    <row r="90" spans="1:24" s="9" customFormat="1" ht="45">
      <c r="A90" s="27">
        <v>3</v>
      </c>
      <c r="B90" s="45" t="s">
        <v>169</v>
      </c>
      <c r="C90" s="27" t="s">
        <v>28</v>
      </c>
      <c r="D90" s="27">
        <v>7761297</v>
      </c>
      <c r="E90" s="27">
        <v>2019</v>
      </c>
      <c r="F90" s="33" t="s">
        <v>240</v>
      </c>
      <c r="G90" s="74">
        <v>572</v>
      </c>
      <c r="H90" s="74">
        <v>522.5</v>
      </c>
      <c r="I90" s="74">
        <v>522.5</v>
      </c>
      <c r="J90" s="58"/>
      <c r="K90" s="58">
        <f t="shared" si="36"/>
        <v>5.161</v>
      </c>
      <c r="L90" s="58">
        <v>5.161</v>
      </c>
      <c r="M90" s="58"/>
      <c r="N90" s="58">
        <f t="shared" si="39"/>
        <v>0</v>
      </c>
      <c r="O90" s="58"/>
      <c r="P90" s="58"/>
      <c r="Q90" s="58">
        <f t="shared" si="37"/>
        <v>5.161</v>
      </c>
      <c r="R90" s="58">
        <v>5.161</v>
      </c>
      <c r="S90" s="58">
        <v>0</v>
      </c>
      <c r="T90" s="140">
        <f t="shared" si="31"/>
        <v>100</v>
      </c>
      <c r="U90" s="141">
        <f t="shared" si="38"/>
        <v>0</v>
      </c>
      <c r="V90" s="34"/>
      <c r="W90" s="43"/>
      <c r="X90" s="35"/>
    </row>
    <row r="91" spans="1:23" ht="45">
      <c r="A91" s="27">
        <v>4</v>
      </c>
      <c r="B91" s="45" t="s">
        <v>170</v>
      </c>
      <c r="C91" s="27" t="s">
        <v>28</v>
      </c>
      <c r="D91" s="27">
        <v>7761299</v>
      </c>
      <c r="E91" s="27">
        <v>2019</v>
      </c>
      <c r="F91" s="33" t="s">
        <v>241</v>
      </c>
      <c r="G91" s="74">
        <v>792</v>
      </c>
      <c r="H91" s="74">
        <v>720</v>
      </c>
      <c r="I91" s="74">
        <v>720</v>
      </c>
      <c r="J91" s="58"/>
      <c r="K91" s="58">
        <f t="shared" si="36"/>
        <v>70.408</v>
      </c>
      <c r="L91" s="58">
        <v>70.408</v>
      </c>
      <c r="M91" s="58"/>
      <c r="N91" s="58">
        <f t="shared" si="39"/>
        <v>0</v>
      </c>
      <c r="O91" s="58"/>
      <c r="P91" s="58"/>
      <c r="Q91" s="58">
        <f t="shared" si="37"/>
        <v>70.408</v>
      </c>
      <c r="R91" s="58">
        <v>70.408</v>
      </c>
      <c r="S91" s="58">
        <v>0</v>
      </c>
      <c r="T91" s="140">
        <f t="shared" si="31"/>
        <v>100</v>
      </c>
      <c r="U91" s="141">
        <f t="shared" si="38"/>
        <v>0</v>
      </c>
      <c r="V91" s="34"/>
      <c r="W91" s="43"/>
    </row>
    <row r="92" spans="1:23" ht="45">
      <c r="A92" s="27">
        <v>5</v>
      </c>
      <c r="B92" s="45" t="s">
        <v>171</v>
      </c>
      <c r="C92" s="27" t="s">
        <v>28</v>
      </c>
      <c r="D92" s="27">
        <v>7761298</v>
      </c>
      <c r="E92" s="27">
        <v>2019</v>
      </c>
      <c r="F92" s="33" t="s">
        <v>242</v>
      </c>
      <c r="G92" s="74">
        <v>898</v>
      </c>
      <c r="H92" s="74">
        <v>816</v>
      </c>
      <c r="I92" s="74">
        <v>816</v>
      </c>
      <c r="J92" s="58"/>
      <c r="K92" s="58">
        <f t="shared" si="36"/>
        <v>2.836</v>
      </c>
      <c r="L92" s="58">
        <v>2.836</v>
      </c>
      <c r="M92" s="58"/>
      <c r="N92" s="58">
        <f t="shared" si="39"/>
        <v>0</v>
      </c>
      <c r="O92" s="58"/>
      <c r="P92" s="58"/>
      <c r="Q92" s="58">
        <f t="shared" si="37"/>
        <v>2.836</v>
      </c>
      <c r="R92" s="58">
        <v>2.836</v>
      </c>
      <c r="S92" s="58">
        <v>0</v>
      </c>
      <c r="T92" s="140">
        <f t="shared" si="31"/>
        <v>100</v>
      </c>
      <c r="U92" s="141">
        <f t="shared" si="38"/>
        <v>0</v>
      </c>
      <c r="V92" s="34"/>
      <c r="W92" s="43"/>
    </row>
    <row r="93" spans="1:23" ht="45">
      <c r="A93" s="27">
        <v>6</v>
      </c>
      <c r="B93" s="45" t="s">
        <v>172</v>
      </c>
      <c r="C93" s="27" t="s">
        <v>28</v>
      </c>
      <c r="D93" s="27">
        <v>7787814</v>
      </c>
      <c r="E93" s="95" t="s">
        <v>56</v>
      </c>
      <c r="F93" s="27" t="s">
        <v>226</v>
      </c>
      <c r="G93" s="58">
        <v>836</v>
      </c>
      <c r="H93" s="58">
        <v>760</v>
      </c>
      <c r="I93" s="58">
        <v>760</v>
      </c>
      <c r="J93" s="58"/>
      <c r="K93" s="58">
        <f t="shared" si="36"/>
        <v>67.072</v>
      </c>
      <c r="L93" s="58">
        <v>67.072</v>
      </c>
      <c r="M93" s="58"/>
      <c r="N93" s="58">
        <f>O93+P93</f>
        <v>16.3</v>
      </c>
      <c r="O93" s="58">
        <v>16.3</v>
      </c>
      <c r="P93" s="58"/>
      <c r="Q93" s="58">
        <f t="shared" si="37"/>
        <v>37.022000000000006</v>
      </c>
      <c r="R93" s="58">
        <v>37.022000000000006</v>
      </c>
      <c r="S93" s="58">
        <v>0</v>
      </c>
      <c r="T93" s="140">
        <f t="shared" si="31"/>
        <v>55.19739980916031</v>
      </c>
      <c r="U93" s="141">
        <f t="shared" si="38"/>
        <v>24.302242366412212</v>
      </c>
      <c r="V93" s="34"/>
      <c r="W93" s="43"/>
    </row>
    <row r="94" spans="1:23" ht="45">
      <c r="A94" s="27">
        <v>7</v>
      </c>
      <c r="B94" s="45" t="s">
        <v>173</v>
      </c>
      <c r="C94" s="27" t="s">
        <v>28</v>
      </c>
      <c r="D94" s="27">
        <v>7787812</v>
      </c>
      <c r="E94" s="95" t="s">
        <v>56</v>
      </c>
      <c r="F94" s="27" t="s">
        <v>228</v>
      </c>
      <c r="G94" s="58">
        <v>836</v>
      </c>
      <c r="H94" s="58">
        <v>760</v>
      </c>
      <c r="I94" s="58">
        <v>760</v>
      </c>
      <c r="J94" s="58"/>
      <c r="K94" s="58">
        <f t="shared" si="36"/>
        <v>67.408</v>
      </c>
      <c r="L94" s="58">
        <v>67.408</v>
      </c>
      <c r="M94" s="58"/>
      <c r="N94" s="58">
        <f t="shared" si="39"/>
        <v>16.3</v>
      </c>
      <c r="O94" s="58">
        <v>16.3</v>
      </c>
      <c r="P94" s="58"/>
      <c r="Q94" s="58">
        <f t="shared" si="37"/>
        <v>37.029</v>
      </c>
      <c r="R94" s="58">
        <v>37.029</v>
      </c>
      <c r="S94" s="58">
        <v>0</v>
      </c>
      <c r="T94" s="140">
        <f t="shared" si="31"/>
        <v>54.932648943745555</v>
      </c>
      <c r="U94" s="141">
        <f t="shared" si="38"/>
        <v>24.181106100166154</v>
      </c>
      <c r="V94" s="34"/>
      <c r="W94" s="43"/>
    </row>
    <row r="95" spans="1:27" ht="45">
      <c r="A95" s="27">
        <v>8</v>
      </c>
      <c r="B95" s="45" t="s">
        <v>174</v>
      </c>
      <c r="C95" s="27" t="s">
        <v>28</v>
      </c>
      <c r="D95" s="27">
        <v>7787813</v>
      </c>
      <c r="E95" s="95" t="s">
        <v>56</v>
      </c>
      <c r="F95" s="27" t="s">
        <v>227</v>
      </c>
      <c r="G95" s="58">
        <v>836</v>
      </c>
      <c r="H95" s="58">
        <v>760</v>
      </c>
      <c r="I95" s="58">
        <v>760</v>
      </c>
      <c r="J95" s="58"/>
      <c r="K95" s="58">
        <f t="shared" si="36"/>
        <v>76.084</v>
      </c>
      <c r="L95" s="58">
        <v>76.084</v>
      </c>
      <c r="M95" s="58"/>
      <c r="N95" s="58">
        <f t="shared" si="39"/>
        <v>36.057</v>
      </c>
      <c r="O95" s="58">
        <v>36.057</v>
      </c>
      <c r="P95" s="58"/>
      <c r="Q95" s="58">
        <f t="shared" si="37"/>
        <v>36.057</v>
      </c>
      <c r="R95" s="58">
        <v>36.057</v>
      </c>
      <c r="S95" s="58">
        <v>0</v>
      </c>
      <c r="T95" s="140">
        <f t="shared" si="31"/>
        <v>47.39104148046896</v>
      </c>
      <c r="U95" s="141">
        <f t="shared" si="38"/>
        <v>47.39104148046896</v>
      </c>
      <c r="V95" s="34"/>
      <c r="W95" s="43"/>
      <c r="AA95" s="82"/>
    </row>
    <row r="96" spans="1:24" s="9" customFormat="1" ht="45">
      <c r="A96" s="27">
        <v>9</v>
      </c>
      <c r="B96" s="45" t="s">
        <v>63</v>
      </c>
      <c r="C96" s="27" t="s">
        <v>28</v>
      </c>
      <c r="D96" s="27">
        <v>7758847</v>
      </c>
      <c r="E96" s="27" t="s">
        <v>56</v>
      </c>
      <c r="F96" s="27" t="s">
        <v>229</v>
      </c>
      <c r="G96" s="58">
        <v>2527.532307</v>
      </c>
      <c r="H96" s="58">
        <f>1971.677468+378</f>
        <v>2349.677468</v>
      </c>
      <c r="I96" s="58">
        <f>G96</f>
        <v>2527.532307</v>
      </c>
      <c r="J96" s="58"/>
      <c r="K96" s="58">
        <f t="shared" si="36"/>
        <v>971</v>
      </c>
      <c r="L96" s="58"/>
      <c r="M96" s="58">
        <v>971</v>
      </c>
      <c r="N96" s="58">
        <f t="shared" si="39"/>
        <v>971</v>
      </c>
      <c r="O96" s="58"/>
      <c r="P96" s="58">
        <v>971</v>
      </c>
      <c r="Q96" s="58">
        <f t="shared" si="37"/>
        <v>971</v>
      </c>
      <c r="R96" s="58">
        <v>0</v>
      </c>
      <c r="S96" s="58">
        <v>971</v>
      </c>
      <c r="T96" s="140">
        <f t="shared" si="31"/>
        <v>100</v>
      </c>
      <c r="U96" s="141">
        <f t="shared" si="38"/>
        <v>100</v>
      </c>
      <c r="V96" s="34"/>
      <c r="W96" s="43"/>
      <c r="X96" s="35"/>
    </row>
    <row r="97" spans="1:24" s="9" customFormat="1" ht="45">
      <c r="A97" s="27">
        <v>10</v>
      </c>
      <c r="B97" s="45" t="s">
        <v>64</v>
      </c>
      <c r="C97" s="27" t="s">
        <v>28</v>
      </c>
      <c r="D97" s="27">
        <v>7755681</v>
      </c>
      <c r="E97" s="27" t="s">
        <v>56</v>
      </c>
      <c r="F97" s="27" t="s">
        <v>230</v>
      </c>
      <c r="G97" s="58">
        <v>1118.7</v>
      </c>
      <c r="H97" s="58">
        <v>1017</v>
      </c>
      <c r="I97" s="58">
        <f aca="true" t="shared" si="40" ref="I97:I127">G97</f>
        <v>1118.7</v>
      </c>
      <c r="J97" s="58"/>
      <c r="K97" s="58">
        <f t="shared" si="36"/>
        <v>100</v>
      </c>
      <c r="L97" s="58"/>
      <c r="M97" s="58">
        <v>100</v>
      </c>
      <c r="N97" s="58">
        <f>O97+P97</f>
        <v>96.404</v>
      </c>
      <c r="O97" s="58"/>
      <c r="P97" s="58">
        <v>96.404</v>
      </c>
      <c r="Q97" s="58">
        <f t="shared" si="37"/>
        <v>96.404</v>
      </c>
      <c r="R97" s="58">
        <v>0</v>
      </c>
      <c r="S97" s="58">
        <f>P97</f>
        <v>96.404</v>
      </c>
      <c r="T97" s="140">
        <f t="shared" si="31"/>
        <v>96.404</v>
      </c>
      <c r="U97" s="141">
        <f t="shared" si="38"/>
        <v>96.404</v>
      </c>
      <c r="V97" s="34"/>
      <c r="W97" s="43"/>
      <c r="X97" s="35"/>
    </row>
    <row r="98" spans="1:24" s="9" customFormat="1" ht="45">
      <c r="A98" s="27">
        <v>11</v>
      </c>
      <c r="B98" s="45" t="s">
        <v>67</v>
      </c>
      <c r="C98" s="27" t="s">
        <v>28</v>
      </c>
      <c r="D98" s="27">
        <v>7776353</v>
      </c>
      <c r="E98" s="27" t="s">
        <v>56</v>
      </c>
      <c r="F98" s="33" t="s">
        <v>205</v>
      </c>
      <c r="G98" s="58">
        <v>1491.6</v>
      </c>
      <c r="H98" s="58">
        <v>1356</v>
      </c>
      <c r="I98" s="58">
        <f t="shared" si="40"/>
        <v>1491.6</v>
      </c>
      <c r="J98" s="58"/>
      <c r="K98" s="58">
        <f t="shared" si="36"/>
        <v>858</v>
      </c>
      <c r="L98" s="58">
        <v>2</v>
      </c>
      <c r="M98" s="58">
        <v>856</v>
      </c>
      <c r="N98" s="58">
        <f t="shared" si="39"/>
        <v>853.475</v>
      </c>
      <c r="O98" s="58"/>
      <c r="P98" s="58">
        <v>853.475</v>
      </c>
      <c r="Q98" s="58">
        <f t="shared" si="37"/>
        <v>-853.475</v>
      </c>
      <c r="R98" s="58"/>
      <c r="S98" s="58">
        <f>-N98</f>
        <v>-853.475</v>
      </c>
      <c r="T98" s="140">
        <f t="shared" si="31"/>
        <v>-99.47261072261072</v>
      </c>
      <c r="U98" s="141">
        <f t="shared" si="38"/>
        <v>99.47261072261072</v>
      </c>
      <c r="V98" s="34"/>
      <c r="W98" s="43"/>
      <c r="X98" s="35"/>
    </row>
    <row r="99" spans="1:24" s="9" customFormat="1" ht="45">
      <c r="A99" s="27">
        <v>12</v>
      </c>
      <c r="B99" s="45" t="s">
        <v>66</v>
      </c>
      <c r="C99" s="27" t="s">
        <v>28</v>
      </c>
      <c r="D99" s="27">
        <v>7776352</v>
      </c>
      <c r="E99" s="27" t="s">
        <v>56</v>
      </c>
      <c r="F99" s="33" t="s">
        <v>206</v>
      </c>
      <c r="G99" s="58">
        <v>1996.5</v>
      </c>
      <c r="H99" s="58">
        <v>1815</v>
      </c>
      <c r="I99" s="58">
        <f t="shared" si="40"/>
        <v>1996.5</v>
      </c>
      <c r="J99" s="58"/>
      <c r="K99" s="58">
        <f t="shared" si="36"/>
        <v>1268</v>
      </c>
      <c r="L99" s="58">
        <v>3</v>
      </c>
      <c r="M99" s="58">
        <v>1265</v>
      </c>
      <c r="N99" s="58">
        <f t="shared" si="39"/>
        <v>1260.985</v>
      </c>
      <c r="O99" s="58"/>
      <c r="P99" s="58">
        <v>1260.985</v>
      </c>
      <c r="Q99" s="58">
        <f t="shared" si="37"/>
        <v>1265</v>
      </c>
      <c r="R99" s="58"/>
      <c r="S99" s="58">
        <v>1265</v>
      </c>
      <c r="T99" s="140">
        <f t="shared" si="31"/>
        <v>99.76340694006309</v>
      </c>
      <c r="U99" s="141">
        <f t="shared" si="38"/>
        <v>99.44676656151418</v>
      </c>
      <c r="V99" s="34"/>
      <c r="W99" s="43"/>
      <c r="X99" s="35"/>
    </row>
    <row r="100" spans="1:24" s="9" customFormat="1" ht="45">
      <c r="A100" s="27">
        <v>13</v>
      </c>
      <c r="B100" s="45" t="s">
        <v>65</v>
      </c>
      <c r="C100" s="27" t="s">
        <v>28</v>
      </c>
      <c r="D100" s="27">
        <v>7749008</v>
      </c>
      <c r="E100" s="27" t="s">
        <v>56</v>
      </c>
      <c r="F100" s="33" t="s">
        <v>233</v>
      </c>
      <c r="G100" s="58">
        <v>1188</v>
      </c>
      <c r="H100" s="58">
        <f>63+1017</f>
        <v>1080</v>
      </c>
      <c r="I100" s="58">
        <f t="shared" si="40"/>
        <v>1188</v>
      </c>
      <c r="J100" s="58"/>
      <c r="K100" s="58">
        <f t="shared" si="36"/>
        <v>13</v>
      </c>
      <c r="L100" s="58"/>
      <c r="M100" s="58">
        <v>13</v>
      </c>
      <c r="N100" s="58">
        <f t="shared" si="39"/>
        <v>7.998</v>
      </c>
      <c r="O100" s="58"/>
      <c r="P100" s="58">
        <v>7.998</v>
      </c>
      <c r="Q100" s="58">
        <f t="shared" si="37"/>
        <v>13</v>
      </c>
      <c r="R100" s="58">
        <v>0</v>
      </c>
      <c r="S100" s="58">
        <v>13</v>
      </c>
      <c r="T100" s="140">
        <f t="shared" si="31"/>
        <v>100</v>
      </c>
      <c r="U100" s="141">
        <f t="shared" si="38"/>
        <v>61.52307692307693</v>
      </c>
      <c r="V100" s="34"/>
      <c r="W100" s="43"/>
      <c r="X100" s="35"/>
    </row>
    <row r="101" spans="1:24" s="9" customFormat="1" ht="49.5" customHeight="1">
      <c r="A101" s="27">
        <v>14</v>
      </c>
      <c r="B101" s="45" t="s">
        <v>78</v>
      </c>
      <c r="C101" s="27" t="s">
        <v>28</v>
      </c>
      <c r="D101" s="27">
        <v>7775861</v>
      </c>
      <c r="E101" s="27" t="s">
        <v>56</v>
      </c>
      <c r="F101" s="33" t="s">
        <v>217</v>
      </c>
      <c r="G101" s="58">
        <v>4423</v>
      </c>
      <c r="H101" s="58">
        <v>4021</v>
      </c>
      <c r="I101" s="58">
        <f t="shared" si="40"/>
        <v>4423</v>
      </c>
      <c r="J101" s="58"/>
      <c r="K101" s="58">
        <f>L101+M101</f>
        <v>1223.802</v>
      </c>
      <c r="L101" s="58">
        <v>12.802</v>
      </c>
      <c r="M101" s="58">
        <v>1211</v>
      </c>
      <c r="N101" s="58">
        <f t="shared" si="39"/>
        <v>1196.098318</v>
      </c>
      <c r="O101" s="58"/>
      <c r="P101" s="58">
        <v>1196.098318</v>
      </c>
      <c r="Q101" s="58">
        <f t="shared" si="37"/>
        <v>1223.802</v>
      </c>
      <c r="R101" s="58">
        <v>12.802</v>
      </c>
      <c r="S101" s="58">
        <v>1211</v>
      </c>
      <c r="T101" s="140">
        <f t="shared" si="31"/>
        <v>100</v>
      </c>
      <c r="U101" s="141">
        <f t="shared" si="38"/>
        <v>97.73626109452347</v>
      </c>
      <c r="V101" s="34"/>
      <c r="W101" s="43"/>
      <c r="X101" s="35"/>
    </row>
    <row r="102" spans="1:27" s="104" customFormat="1" ht="54" customHeight="1">
      <c r="A102" s="27">
        <v>15</v>
      </c>
      <c r="B102" s="45" t="s">
        <v>104</v>
      </c>
      <c r="C102" s="27" t="s">
        <v>28</v>
      </c>
      <c r="D102" s="27">
        <v>7818910</v>
      </c>
      <c r="E102" s="27" t="s">
        <v>127</v>
      </c>
      <c r="F102" s="33" t="s">
        <v>218</v>
      </c>
      <c r="G102" s="58">
        <v>333</v>
      </c>
      <c r="H102" s="58">
        <v>303</v>
      </c>
      <c r="I102" s="58">
        <f t="shared" si="40"/>
        <v>333</v>
      </c>
      <c r="J102" s="58"/>
      <c r="K102" s="58">
        <f t="shared" si="36"/>
        <v>303</v>
      </c>
      <c r="L102" s="58"/>
      <c r="M102" s="58">
        <v>303</v>
      </c>
      <c r="N102" s="58">
        <f t="shared" si="39"/>
        <v>0</v>
      </c>
      <c r="O102" s="58"/>
      <c r="P102" s="58"/>
      <c r="Q102" s="58">
        <f aca="true" t="shared" si="41" ref="Q102:Q127">R102+S102</f>
        <v>1442</v>
      </c>
      <c r="R102" s="58">
        <v>0</v>
      </c>
      <c r="S102" s="58">
        <v>1442</v>
      </c>
      <c r="T102" s="140">
        <f t="shared" si="31"/>
        <v>475.9075907590759</v>
      </c>
      <c r="U102" s="141">
        <f t="shared" si="38"/>
        <v>0</v>
      </c>
      <c r="V102" s="34"/>
      <c r="W102" s="43"/>
      <c r="X102" s="35"/>
      <c r="Y102" s="9"/>
      <c r="Z102" s="9"/>
      <c r="AA102" s="9"/>
    </row>
    <row r="103" spans="1:24" s="9" customFormat="1" ht="51" customHeight="1">
      <c r="A103" s="27">
        <v>16</v>
      </c>
      <c r="B103" s="45" t="s">
        <v>105</v>
      </c>
      <c r="C103" s="27" t="s">
        <v>28</v>
      </c>
      <c r="D103" s="27">
        <v>7824596</v>
      </c>
      <c r="E103" s="27" t="s">
        <v>127</v>
      </c>
      <c r="F103" s="27" t="s">
        <v>231</v>
      </c>
      <c r="G103" s="58">
        <v>1251</v>
      </c>
      <c r="H103" s="58">
        <v>1137</v>
      </c>
      <c r="I103" s="58">
        <f t="shared" si="40"/>
        <v>1251</v>
      </c>
      <c r="J103" s="58"/>
      <c r="K103" s="58">
        <f t="shared" si="36"/>
        <v>1137</v>
      </c>
      <c r="L103" s="58"/>
      <c r="M103" s="58">
        <v>1137</v>
      </c>
      <c r="N103" s="58">
        <f t="shared" si="39"/>
        <v>1131.999</v>
      </c>
      <c r="O103" s="58"/>
      <c r="P103" s="58">
        <v>1131.999</v>
      </c>
      <c r="Q103" s="58">
        <f t="shared" si="41"/>
        <v>1131.999</v>
      </c>
      <c r="R103" s="58">
        <v>0</v>
      </c>
      <c r="S103" s="58">
        <v>1131.999</v>
      </c>
      <c r="T103" s="140">
        <f t="shared" si="31"/>
        <v>99.56015831134565</v>
      </c>
      <c r="U103" s="141">
        <f t="shared" si="38"/>
        <v>99.56015831134565</v>
      </c>
      <c r="V103" s="34"/>
      <c r="W103" s="43"/>
      <c r="X103" s="35"/>
    </row>
    <row r="104" spans="1:24" s="9" customFormat="1" ht="51.75" customHeight="1">
      <c r="A104" s="27">
        <v>17</v>
      </c>
      <c r="B104" s="45" t="s">
        <v>106</v>
      </c>
      <c r="C104" s="27" t="s">
        <v>28</v>
      </c>
      <c r="D104" s="27">
        <v>7816783</v>
      </c>
      <c r="E104" s="27" t="s">
        <v>127</v>
      </c>
      <c r="F104" s="27" t="s">
        <v>232</v>
      </c>
      <c r="G104" s="58">
        <v>911</v>
      </c>
      <c r="H104" s="58">
        <v>828</v>
      </c>
      <c r="I104" s="58">
        <f t="shared" si="40"/>
        <v>911</v>
      </c>
      <c r="J104" s="58"/>
      <c r="K104" s="58">
        <f t="shared" si="36"/>
        <v>828</v>
      </c>
      <c r="L104" s="58"/>
      <c r="M104" s="58">
        <v>828</v>
      </c>
      <c r="N104" s="58">
        <f t="shared" si="39"/>
        <v>755.519</v>
      </c>
      <c r="O104" s="58"/>
      <c r="P104" s="58">
        <v>755.519</v>
      </c>
      <c r="Q104" s="58">
        <f t="shared" si="41"/>
        <v>755.519</v>
      </c>
      <c r="R104" s="58">
        <v>0</v>
      </c>
      <c r="S104" s="58">
        <v>755.519</v>
      </c>
      <c r="T104" s="140">
        <f t="shared" si="31"/>
        <v>91.24625603864735</v>
      </c>
      <c r="U104" s="141">
        <f t="shared" si="38"/>
        <v>91.24625603864735</v>
      </c>
      <c r="V104" s="34"/>
      <c r="W104" s="43"/>
      <c r="X104" s="35"/>
    </row>
    <row r="105" spans="1:24" s="9" customFormat="1" ht="45">
      <c r="A105" s="27">
        <v>18</v>
      </c>
      <c r="B105" s="45" t="s">
        <v>107</v>
      </c>
      <c r="C105" s="27" t="s">
        <v>28</v>
      </c>
      <c r="D105" s="27">
        <v>7823205</v>
      </c>
      <c r="E105" s="27" t="s">
        <v>127</v>
      </c>
      <c r="F105" s="33" t="s">
        <v>207</v>
      </c>
      <c r="G105" s="58">
        <v>1832</v>
      </c>
      <c r="H105" s="58">
        <v>1665</v>
      </c>
      <c r="I105" s="58">
        <f t="shared" si="40"/>
        <v>1832</v>
      </c>
      <c r="J105" s="58"/>
      <c r="K105" s="58">
        <f t="shared" si="36"/>
        <v>1665</v>
      </c>
      <c r="L105" s="58"/>
      <c r="M105" s="58">
        <v>1665</v>
      </c>
      <c r="N105" s="58">
        <f t="shared" si="39"/>
        <v>1659.469</v>
      </c>
      <c r="O105" s="58"/>
      <c r="P105" s="58">
        <v>1659.469</v>
      </c>
      <c r="Q105" s="58">
        <f t="shared" si="41"/>
        <v>1665</v>
      </c>
      <c r="R105" s="58">
        <v>0</v>
      </c>
      <c r="S105" s="58">
        <v>1665</v>
      </c>
      <c r="T105" s="140">
        <f t="shared" si="31"/>
        <v>100</v>
      </c>
      <c r="U105" s="141">
        <f t="shared" si="38"/>
        <v>99.6678078078078</v>
      </c>
      <c r="V105" s="34"/>
      <c r="W105" s="43"/>
      <c r="X105" s="35"/>
    </row>
    <row r="106" spans="1:24" s="9" customFormat="1" ht="45">
      <c r="A106" s="27">
        <v>19</v>
      </c>
      <c r="B106" s="45" t="s">
        <v>108</v>
      </c>
      <c r="C106" s="27" t="s">
        <v>28</v>
      </c>
      <c r="D106" s="27">
        <v>7823207</v>
      </c>
      <c r="E106" s="27" t="s">
        <v>127</v>
      </c>
      <c r="F106" s="33" t="s">
        <v>208</v>
      </c>
      <c r="G106" s="58">
        <v>738</v>
      </c>
      <c r="H106" s="58">
        <v>671</v>
      </c>
      <c r="I106" s="58">
        <f t="shared" si="40"/>
        <v>738</v>
      </c>
      <c r="J106" s="58"/>
      <c r="K106" s="58">
        <f t="shared" si="36"/>
        <v>671</v>
      </c>
      <c r="L106" s="58"/>
      <c r="M106" s="58">
        <v>671</v>
      </c>
      <c r="N106" s="58">
        <f t="shared" si="39"/>
        <v>668.833</v>
      </c>
      <c r="O106" s="58"/>
      <c r="P106" s="58">
        <v>668.833</v>
      </c>
      <c r="Q106" s="58">
        <f t="shared" si="41"/>
        <v>671</v>
      </c>
      <c r="R106" s="58">
        <v>0</v>
      </c>
      <c r="S106" s="58">
        <v>671</v>
      </c>
      <c r="T106" s="140">
        <f t="shared" si="31"/>
        <v>100</v>
      </c>
      <c r="U106" s="141">
        <f t="shared" si="38"/>
        <v>99.67704918032786</v>
      </c>
      <c r="V106" s="34"/>
      <c r="W106" s="43"/>
      <c r="X106" s="35"/>
    </row>
    <row r="107" spans="1:24" s="9" customFormat="1" ht="45">
      <c r="A107" s="27">
        <v>20</v>
      </c>
      <c r="B107" s="45" t="s">
        <v>109</v>
      </c>
      <c r="C107" s="27" t="s">
        <v>28</v>
      </c>
      <c r="D107" s="27">
        <v>7818911</v>
      </c>
      <c r="E107" s="27" t="s">
        <v>127</v>
      </c>
      <c r="F107" s="33" t="s">
        <v>219</v>
      </c>
      <c r="G107" s="58">
        <v>4818</v>
      </c>
      <c r="H107" s="58">
        <v>4380</v>
      </c>
      <c r="I107" s="58">
        <f t="shared" si="40"/>
        <v>4818</v>
      </c>
      <c r="J107" s="58"/>
      <c r="K107" s="58">
        <f t="shared" si="36"/>
        <v>4380</v>
      </c>
      <c r="L107" s="58"/>
      <c r="M107" s="58">
        <v>4380</v>
      </c>
      <c r="N107" s="58">
        <f t="shared" si="39"/>
        <v>4365.333535</v>
      </c>
      <c r="O107" s="58"/>
      <c r="P107" s="58">
        <v>4365.333535</v>
      </c>
      <c r="Q107" s="58">
        <f t="shared" si="41"/>
        <v>4380</v>
      </c>
      <c r="R107" s="58">
        <v>0</v>
      </c>
      <c r="S107" s="58">
        <v>4380</v>
      </c>
      <c r="T107" s="140">
        <f t="shared" si="31"/>
        <v>100</v>
      </c>
      <c r="U107" s="141">
        <f t="shared" si="38"/>
        <v>99.66514920091323</v>
      </c>
      <c r="V107" s="34"/>
      <c r="W107" s="43"/>
      <c r="X107" s="35"/>
    </row>
    <row r="108" spans="1:24" s="9" customFormat="1" ht="45">
      <c r="A108" s="27">
        <v>21</v>
      </c>
      <c r="B108" s="45" t="s">
        <v>110</v>
      </c>
      <c r="C108" s="27" t="s">
        <v>28</v>
      </c>
      <c r="D108" s="27">
        <v>7823425</v>
      </c>
      <c r="E108" s="27" t="s">
        <v>127</v>
      </c>
      <c r="F108" s="27" t="s">
        <v>234</v>
      </c>
      <c r="G108" s="58">
        <v>1122</v>
      </c>
      <c r="H108" s="58">
        <v>1020</v>
      </c>
      <c r="I108" s="58">
        <f t="shared" si="40"/>
        <v>1122</v>
      </c>
      <c r="J108" s="58"/>
      <c r="K108" s="58">
        <f t="shared" si="36"/>
        <v>1020</v>
      </c>
      <c r="L108" s="58"/>
      <c r="M108" s="58">
        <v>1020</v>
      </c>
      <c r="N108" s="58">
        <f t="shared" si="39"/>
        <v>1016.054</v>
      </c>
      <c r="O108" s="58"/>
      <c r="P108" s="58">
        <v>1016.054</v>
      </c>
      <c r="Q108" s="58">
        <f t="shared" si="41"/>
        <v>1016.054</v>
      </c>
      <c r="R108" s="58">
        <v>0</v>
      </c>
      <c r="S108" s="58">
        <v>1016.054</v>
      </c>
      <c r="T108" s="140">
        <f t="shared" si="31"/>
        <v>99.61313725490196</v>
      </c>
      <c r="U108" s="141">
        <f t="shared" si="38"/>
        <v>99.61313725490196</v>
      </c>
      <c r="V108" s="34"/>
      <c r="W108" s="43"/>
      <c r="X108" s="35"/>
    </row>
    <row r="109" spans="1:24" s="9" customFormat="1" ht="45">
      <c r="A109" s="27">
        <v>22</v>
      </c>
      <c r="B109" s="45" t="s">
        <v>111</v>
      </c>
      <c r="C109" s="27" t="s">
        <v>28</v>
      </c>
      <c r="D109" s="27">
        <v>7830586</v>
      </c>
      <c r="E109" s="27" t="s">
        <v>127</v>
      </c>
      <c r="F109" s="27" t="s">
        <v>235</v>
      </c>
      <c r="G109" s="58">
        <v>1210</v>
      </c>
      <c r="H109" s="58">
        <v>1100</v>
      </c>
      <c r="I109" s="58">
        <f t="shared" si="40"/>
        <v>1210</v>
      </c>
      <c r="J109" s="58"/>
      <c r="K109" s="58">
        <f t="shared" si="36"/>
        <v>1100</v>
      </c>
      <c r="L109" s="58"/>
      <c r="M109" s="58">
        <v>1100</v>
      </c>
      <c r="N109" s="58">
        <f t="shared" si="39"/>
        <v>1099.96</v>
      </c>
      <c r="O109" s="58"/>
      <c r="P109" s="58">
        <v>1099.96</v>
      </c>
      <c r="Q109" s="58">
        <f t="shared" si="41"/>
        <v>1100</v>
      </c>
      <c r="R109" s="58">
        <v>0</v>
      </c>
      <c r="S109" s="58">
        <v>1100</v>
      </c>
      <c r="T109" s="140">
        <f t="shared" si="31"/>
        <v>100</v>
      </c>
      <c r="U109" s="141">
        <f t="shared" si="38"/>
        <v>99.99636363636364</v>
      </c>
      <c r="V109" s="34"/>
      <c r="W109" s="43"/>
      <c r="X109" s="35"/>
    </row>
    <row r="110" spans="1:24" s="9" customFormat="1" ht="45">
      <c r="A110" s="27">
        <v>23</v>
      </c>
      <c r="B110" s="45" t="s">
        <v>112</v>
      </c>
      <c r="C110" s="27" t="s">
        <v>28</v>
      </c>
      <c r="D110" s="27">
        <v>7812862</v>
      </c>
      <c r="E110" s="27" t="s">
        <v>127</v>
      </c>
      <c r="F110" s="27" t="s">
        <v>236</v>
      </c>
      <c r="G110" s="58">
        <v>1482</v>
      </c>
      <c r="H110" s="58">
        <v>1347</v>
      </c>
      <c r="I110" s="58">
        <f t="shared" si="40"/>
        <v>1482</v>
      </c>
      <c r="J110" s="58"/>
      <c r="K110" s="58">
        <f t="shared" si="36"/>
        <v>1347</v>
      </c>
      <c r="L110" s="58"/>
      <c r="M110" s="58">
        <v>1347</v>
      </c>
      <c r="N110" s="58">
        <f t="shared" si="39"/>
        <v>1346.109</v>
      </c>
      <c r="O110" s="58"/>
      <c r="P110" s="58">
        <v>1346.109</v>
      </c>
      <c r="Q110" s="58">
        <f t="shared" si="41"/>
        <v>1346.109</v>
      </c>
      <c r="R110" s="58">
        <v>0</v>
      </c>
      <c r="S110" s="58">
        <v>1346.109</v>
      </c>
      <c r="T110" s="140">
        <f t="shared" si="31"/>
        <v>99.9338530066815</v>
      </c>
      <c r="U110" s="141">
        <f t="shared" si="38"/>
        <v>99.9338530066815</v>
      </c>
      <c r="V110" s="34"/>
      <c r="W110" s="43"/>
      <c r="X110" s="35"/>
    </row>
    <row r="111" spans="1:24" s="9" customFormat="1" ht="45">
      <c r="A111" s="27">
        <v>24</v>
      </c>
      <c r="B111" s="45" t="s">
        <v>113</v>
      </c>
      <c r="C111" s="27" t="s">
        <v>28</v>
      </c>
      <c r="D111" s="27">
        <v>7845167</v>
      </c>
      <c r="E111" s="27" t="s">
        <v>127</v>
      </c>
      <c r="F111" s="27" t="s">
        <v>237</v>
      </c>
      <c r="G111" s="58">
        <v>300</v>
      </c>
      <c r="H111" s="58">
        <v>100</v>
      </c>
      <c r="I111" s="58">
        <f t="shared" si="40"/>
        <v>300</v>
      </c>
      <c r="J111" s="58"/>
      <c r="K111" s="58">
        <f t="shared" si="36"/>
        <v>100</v>
      </c>
      <c r="L111" s="58"/>
      <c r="M111" s="58">
        <v>100</v>
      </c>
      <c r="N111" s="58">
        <f t="shared" si="39"/>
        <v>0</v>
      </c>
      <c r="O111" s="58"/>
      <c r="P111" s="58"/>
      <c r="Q111" s="58">
        <f t="shared" si="41"/>
        <v>100</v>
      </c>
      <c r="R111" s="58">
        <v>0</v>
      </c>
      <c r="S111" s="58">
        <v>100</v>
      </c>
      <c r="T111" s="140">
        <f t="shared" si="31"/>
        <v>100</v>
      </c>
      <c r="U111" s="141">
        <f t="shared" si="38"/>
        <v>0</v>
      </c>
      <c r="V111" s="34"/>
      <c r="W111" s="43"/>
      <c r="X111" s="35"/>
    </row>
    <row r="112" spans="1:24" s="9" customFormat="1" ht="30.75" customHeight="1">
      <c r="A112" s="27">
        <v>25</v>
      </c>
      <c r="B112" s="45" t="s">
        <v>114</v>
      </c>
      <c r="C112" s="27" t="s">
        <v>28</v>
      </c>
      <c r="D112" s="27"/>
      <c r="E112" s="27" t="s">
        <v>127</v>
      </c>
      <c r="F112" s="33"/>
      <c r="G112" s="58">
        <v>300</v>
      </c>
      <c r="H112" s="58">
        <v>100</v>
      </c>
      <c r="I112" s="58">
        <f t="shared" si="40"/>
        <v>300</v>
      </c>
      <c r="J112" s="58"/>
      <c r="K112" s="58">
        <f t="shared" si="36"/>
        <v>100</v>
      </c>
      <c r="L112" s="58"/>
      <c r="M112" s="58">
        <v>100</v>
      </c>
      <c r="N112" s="58">
        <f t="shared" si="39"/>
        <v>0</v>
      </c>
      <c r="O112" s="58"/>
      <c r="P112" s="58"/>
      <c r="Q112" s="58">
        <f t="shared" si="41"/>
        <v>100</v>
      </c>
      <c r="R112" s="58">
        <v>0</v>
      </c>
      <c r="S112" s="58">
        <v>100</v>
      </c>
      <c r="T112" s="140">
        <f t="shared" si="31"/>
        <v>100</v>
      </c>
      <c r="U112" s="141">
        <f t="shared" si="38"/>
        <v>0</v>
      </c>
      <c r="V112" s="34"/>
      <c r="W112" s="43"/>
      <c r="X112" s="35"/>
    </row>
    <row r="113" spans="1:24" s="9" customFormat="1" ht="45">
      <c r="A113" s="27">
        <v>26</v>
      </c>
      <c r="B113" s="45" t="s">
        <v>115</v>
      </c>
      <c r="C113" s="27" t="s">
        <v>28</v>
      </c>
      <c r="D113" s="27">
        <v>7818909</v>
      </c>
      <c r="E113" s="27" t="s">
        <v>127</v>
      </c>
      <c r="F113" s="33" t="s">
        <v>220</v>
      </c>
      <c r="G113" s="58">
        <v>567</v>
      </c>
      <c r="H113" s="58">
        <v>515</v>
      </c>
      <c r="I113" s="58">
        <f t="shared" si="40"/>
        <v>567</v>
      </c>
      <c r="J113" s="58"/>
      <c r="K113" s="58">
        <f t="shared" si="36"/>
        <v>515</v>
      </c>
      <c r="L113" s="58"/>
      <c r="M113" s="58">
        <v>515</v>
      </c>
      <c r="N113" s="58">
        <f t="shared" si="39"/>
        <v>513.122189</v>
      </c>
      <c r="O113" s="58"/>
      <c r="P113" s="58">
        <v>513.122189</v>
      </c>
      <c r="Q113" s="58">
        <f t="shared" si="41"/>
        <v>515</v>
      </c>
      <c r="R113" s="58">
        <v>0</v>
      </c>
      <c r="S113" s="58">
        <v>515</v>
      </c>
      <c r="T113" s="140">
        <f t="shared" si="31"/>
        <v>100</v>
      </c>
      <c r="U113" s="141">
        <f t="shared" si="38"/>
        <v>99.63537650485438</v>
      </c>
      <c r="V113" s="34"/>
      <c r="W113" s="43"/>
      <c r="X113" s="35"/>
    </row>
    <row r="114" spans="1:27" s="104" customFormat="1" ht="45">
      <c r="A114" s="27">
        <v>27</v>
      </c>
      <c r="B114" s="45" t="s">
        <v>116</v>
      </c>
      <c r="C114" s="27" t="s">
        <v>28</v>
      </c>
      <c r="D114" s="27">
        <v>7840032</v>
      </c>
      <c r="E114" s="27" t="s">
        <v>127</v>
      </c>
      <c r="F114" s="33" t="s">
        <v>221</v>
      </c>
      <c r="G114" s="58">
        <v>470</v>
      </c>
      <c r="H114" s="58">
        <v>427</v>
      </c>
      <c r="I114" s="58">
        <f t="shared" si="40"/>
        <v>470</v>
      </c>
      <c r="J114" s="58"/>
      <c r="K114" s="58">
        <f t="shared" si="36"/>
        <v>427</v>
      </c>
      <c r="L114" s="58"/>
      <c r="M114" s="58">
        <v>427</v>
      </c>
      <c r="N114" s="58">
        <f t="shared" si="39"/>
        <v>0</v>
      </c>
      <c r="O114" s="58"/>
      <c r="P114" s="58"/>
      <c r="Q114" s="58">
        <f t="shared" si="41"/>
        <v>516</v>
      </c>
      <c r="R114" s="58">
        <v>0</v>
      </c>
      <c r="S114" s="58">
        <v>516</v>
      </c>
      <c r="T114" s="140">
        <f t="shared" si="31"/>
        <v>120.84309133489461</v>
      </c>
      <c r="U114" s="141">
        <f t="shared" si="38"/>
        <v>0</v>
      </c>
      <c r="V114" s="34"/>
      <c r="W114" s="43"/>
      <c r="X114" s="35"/>
      <c r="Y114" s="9"/>
      <c r="Z114" s="9"/>
      <c r="AA114" s="9"/>
    </row>
    <row r="115" spans="1:24" s="9" customFormat="1" ht="45">
      <c r="A115" s="27">
        <v>28</v>
      </c>
      <c r="B115" s="45" t="s">
        <v>117</v>
      </c>
      <c r="C115" s="27" t="s">
        <v>28</v>
      </c>
      <c r="D115" s="27">
        <v>7840030</v>
      </c>
      <c r="E115" s="27" t="s">
        <v>127</v>
      </c>
      <c r="F115" s="33" t="s">
        <v>222</v>
      </c>
      <c r="G115" s="58">
        <v>300</v>
      </c>
      <c r="H115" s="58">
        <v>100</v>
      </c>
      <c r="I115" s="58">
        <f t="shared" si="40"/>
        <v>300</v>
      </c>
      <c r="J115" s="58"/>
      <c r="K115" s="58">
        <f t="shared" si="36"/>
        <v>100</v>
      </c>
      <c r="L115" s="58"/>
      <c r="M115" s="58">
        <v>100</v>
      </c>
      <c r="N115" s="58">
        <f t="shared" si="39"/>
        <v>0</v>
      </c>
      <c r="O115" s="58"/>
      <c r="P115" s="58"/>
      <c r="Q115" s="58">
        <f t="shared" si="41"/>
        <v>100</v>
      </c>
      <c r="R115" s="58">
        <v>0</v>
      </c>
      <c r="S115" s="58">
        <v>100</v>
      </c>
      <c r="T115" s="140">
        <f t="shared" si="31"/>
        <v>100</v>
      </c>
      <c r="U115" s="141">
        <f t="shared" si="38"/>
        <v>0</v>
      </c>
      <c r="V115" s="34"/>
      <c r="W115" s="43"/>
      <c r="X115" s="35"/>
    </row>
    <row r="116" spans="1:24" s="9" customFormat="1" ht="45">
      <c r="A116" s="27">
        <v>29</v>
      </c>
      <c r="B116" s="45" t="s">
        <v>118</v>
      </c>
      <c r="C116" s="27" t="s">
        <v>28</v>
      </c>
      <c r="D116" s="27">
        <v>7840031</v>
      </c>
      <c r="E116" s="27" t="s">
        <v>127</v>
      </c>
      <c r="F116" s="33" t="s">
        <v>223</v>
      </c>
      <c r="G116" s="58">
        <v>300</v>
      </c>
      <c r="H116" s="58">
        <v>100</v>
      </c>
      <c r="I116" s="58">
        <f t="shared" si="40"/>
        <v>300</v>
      </c>
      <c r="J116" s="58"/>
      <c r="K116" s="58">
        <f t="shared" si="36"/>
        <v>100</v>
      </c>
      <c r="L116" s="58"/>
      <c r="M116" s="58">
        <v>100</v>
      </c>
      <c r="N116" s="58">
        <f t="shared" si="39"/>
        <v>0</v>
      </c>
      <c r="O116" s="58"/>
      <c r="P116" s="58"/>
      <c r="Q116" s="58">
        <f t="shared" si="41"/>
        <v>100</v>
      </c>
      <c r="R116" s="58">
        <v>0</v>
      </c>
      <c r="S116" s="58">
        <v>100</v>
      </c>
      <c r="T116" s="140">
        <f t="shared" si="31"/>
        <v>100</v>
      </c>
      <c r="U116" s="141">
        <f t="shared" si="38"/>
        <v>0</v>
      </c>
      <c r="V116" s="34"/>
      <c r="W116" s="43"/>
      <c r="X116" s="35"/>
    </row>
    <row r="117" spans="1:24" s="9" customFormat="1" ht="45">
      <c r="A117" s="27">
        <v>30</v>
      </c>
      <c r="B117" s="45" t="s">
        <v>119</v>
      </c>
      <c r="C117" s="27" t="s">
        <v>28</v>
      </c>
      <c r="D117" s="27">
        <v>7837637</v>
      </c>
      <c r="E117" s="27" t="s">
        <v>127</v>
      </c>
      <c r="F117" s="33" t="s">
        <v>224</v>
      </c>
      <c r="G117" s="58">
        <v>1320</v>
      </c>
      <c r="H117" s="58">
        <v>1200</v>
      </c>
      <c r="I117" s="58">
        <f t="shared" si="40"/>
        <v>1320</v>
      </c>
      <c r="J117" s="58"/>
      <c r="K117" s="58">
        <f t="shared" si="36"/>
        <v>1200</v>
      </c>
      <c r="L117" s="58"/>
      <c r="M117" s="58">
        <v>1200</v>
      </c>
      <c r="N117" s="58">
        <f>O117+P117</f>
        <v>1194.811407</v>
      </c>
      <c r="O117" s="58"/>
      <c r="P117" s="58">
        <v>1194.811407</v>
      </c>
      <c r="Q117" s="58">
        <f t="shared" si="41"/>
        <v>1200</v>
      </c>
      <c r="R117" s="58">
        <v>0</v>
      </c>
      <c r="S117" s="58">
        <v>1200</v>
      </c>
      <c r="T117" s="140">
        <f t="shared" si="31"/>
        <v>100</v>
      </c>
      <c r="U117" s="141">
        <f t="shared" si="38"/>
        <v>99.56761725</v>
      </c>
      <c r="V117" s="34"/>
      <c r="W117" s="43"/>
      <c r="X117" s="35"/>
    </row>
    <row r="118" spans="1:24" s="9" customFormat="1" ht="45">
      <c r="A118" s="27">
        <v>31</v>
      </c>
      <c r="B118" s="45" t="s">
        <v>120</v>
      </c>
      <c r="C118" s="27" t="s">
        <v>28</v>
      </c>
      <c r="D118" s="27">
        <v>7834842</v>
      </c>
      <c r="E118" s="27" t="s">
        <v>127</v>
      </c>
      <c r="F118" s="33" t="s">
        <v>225</v>
      </c>
      <c r="G118" s="58">
        <v>656</v>
      </c>
      <c r="H118" s="58">
        <v>596</v>
      </c>
      <c r="I118" s="58">
        <f t="shared" si="40"/>
        <v>656</v>
      </c>
      <c r="J118" s="58"/>
      <c r="K118" s="58">
        <f t="shared" si="36"/>
        <v>596</v>
      </c>
      <c r="L118" s="58"/>
      <c r="M118" s="58">
        <v>596</v>
      </c>
      <c r="N118" s="58">
        <f t="shared" si="39"/>
        <v>590.727702</v>
      </c>
      <c r="O118" s="58"/>
      <c r="P118" s="58">
        <v>590.727702</v>
      </c>
      <c r="Q118" s="58">
        <f t="shared" si="41"/>
        <v>596</v>
      </c>
      <c r="R118" s="58">
        <v>0</v>
      </c>
      <c r="S118" s="58">
        <v>596</v>
      </c>
      <c r="T118" s="140">
        <f t="shared" si="31"/>
        <v>100</v>
      </c>
      <c r="U118" s="141">
        <f t="shared" si="38"/>
        <v>99.11538624161074</v>
      </c>
      <c r="V118" s="34"/>
      <c r="W118" s="43"/>
      <c r="X118" s="35"/>
    </row>
    <row r="119" spans="1:24" s="9" customFormat="1" ht="45">
      <c r="A119" s="27">
        <v>32</v>
      </c>
      <c r="B119" s="45" t="s">
        <v>121</v>
      </c>
      <c r="C119" s="27" t="s">
        <v>28</v>
      </c>
      <c r="D119" s="27">
        <v>7823202</v>
      </c>
      <c r="E119" s="27" t="s">
        <v>127</v>
      </c>
      <c r="F119" s="33" t="s">
        <v>209</v>
      </c>
      <c r="G119" s="58">
        <v>1760</v>
      </c>
      <c r="H119" s="58">
        <v>1600</v>
      </c>
      <c r="I119" s="58">
        <f t="shared" si="40"/>
        <v>1760</v>
      </c>
      <c r="J119" s="58"/>
      <c r="K119" s="58">
        <f t="shared" si="36"/>
        <v>1600</v>
      </c>
      <c r="L119" s="58"/>
      <c r="M119" s="58">
        <v>1600</v>
      </c>
      <c r="N119" s="58">
        <f>O119+P119</f>
        <v>1595.395</v>
      </c>
      <c r="O119" s="58"/>
      <c r="P119" s="58">
        <v>1595.395</v>
      </c>
      <c r="Q119" s="58">
        <f t="shared" si="41"/>
        <v>1600</v>
      </c>
      <c r="R119" s="58">
        <v>0</v>
      </c>
      <c r="S119" s="58">
        <v>1600</v>
      </c>
      <c r="T119" s="140">
        <f t="shared" si="31"/>
        <v>100</v>
      </c>
      <c r="U119" s="141">
        <f t="shared" si="38"/>
        <v>99.7121875</v>
      </c>
      <c r="V119" s="34"/>
      <c r="W119" s="43"/>
      <c r="X119" s="35"/>
    </row>
    <row r="120" spans="1:24" s="9" customFormat="1" ht="45">
      <c r="A120" s="27">
        <v>33</v>
      </c>
      <c r="B120" s="45" t="s">
        <v>200</v>
      </c>
      <c r="C120" s="27" t="s">
        <v>28</v>
      </c>
      <c r="D120" s="27">
        <v>7838243</v>
      </c>
      <c r="E120" s="27" t="s">
        <v>127</v>
      </c>
      <c r="F120" s="33" t="s">
        <v>210</v>
      </c>
      <c r="G120" s="58">
        <v>960</v>
      </c>
      <c r="H120" s="58">
        <v>960</v>
      </c>
      <c r="I120" s="58">
        <v>960</v>
      </c>
      <c r="J120" s="58"/>
      <c r="K120" s="58">
        <f t="shared" si="36"/>
        <v>960</v>
      </c>
      <c r="L120" s="58"/>
      <c r="M120" s="58">
        <v>960</v>
      </c>
      <c r="N120" s="58">
        <f t="shared" si="39"/>
        <v>956.802</v>
      </c>
      <c r="O120" s="58"/>
      <c r="P120" s="58">
        <v>956.802</v>
      </c>
      <c r="Q120" s="58">
        <f t="shared" si="41"/>
        <v>960</v>
      </c>
      <c r="R120" s="58">
        <v>0</v>
      </c>
      <c r="S120" s="58">
        <v>960</v>
      </c>
      <c r="T120" s="140">
        <f t="shared" si="31"/>
        <v>100</v>
      </c>
      <c r="U120" s="141">
        <f t="shared" si="38"/>
        <v>99.666875</v>
      </c>
      <c r="V120" s="34"/>
      <c r="W120" s="43"/>
      <c r="X120" s="35"/>
    </row>
    <row r="121" spans="1:26" s="9" customFormat="1" ht="45">
      <c r="A121" s="27">
        <v>34</v>
      </c>
      <c r="B121" s="45" t="s">
        <v>122</v>
      </c>
      <c r="C121" s="27" t="s">
        <v>28</v>
      </c>
      <c r="D121" s="27">
        <v>7823206</v>
      </c>
      <c r="E121" s="27" t="s">
        <v>127</v>
      </c>
      <c r="F121" s="33" t="s">
        <v>211</v>
      </c>
      <c r="G121" s="58">
        <v>2376</v>
      </c>
      <c r="H121" s="58">
        <v>2160</v>
      </c>
      <c r="I121" s="58">
        <f t="shared" si="40"/>
        <v>2376</v>
      </c>
      <c r="J121" s="58"/>
      <c r="K121" s="58">
        <f t="shared" si="36"/>
        <v>2160</v>
      </c>
      <c r="L121" s="58"/>
      <c r="M121" s="58">
        <v>2160</v>
      </c>
      <c r="N121" s="58">
        <f t="shared" si="39"/>
        <v>2153.175</v>
      </c>
      <c r="O121" s="58"/>
      <c r="P121" s="58">
        <v>2153.175</v>
      </c>
      <c r="Q121" s="58">
        <f t="shared" si="41"/>
        <v>2160</v>
      </c>
      <c r="R121" s="58">
        <v>0</v>
      </c>
      <c r="S121" s="58">
        <v>2160</v>
      </c>
      <c r="T121" s="140">
        <f t="shared" si="31"/>
        <v>100</v>
      </c>
      <c r="U121" s="141">
        <f t="shared" si="38"/>
        <v>99.68402777777779</v>
      </c>
      <c r="V121" s="34"/>
      <c r="W121" s="43"/>
      <c r="X121" s="35"/>
      <c r="Z121" s="49"/>
    </row>
    <row r="122" spans="1:24" s="9" customFormat="1" ht="45">
      <c r="A122" s="27">
        <v>35</v>
      </c>
      <c r="B122" s="45" t="s">
        <v>123</v>
      </c>
      <c r="C122" s="27" t="s">
        <v>28</v>
      </c>
      <c r="D122" s="27">
        <v>7823203</v>
      </c>
      <c r="E122" s="27" t="s">
        <v>127</v>
      </c>
      <c r="F122" s="33" t="s">
        <v>212</v>
      </c>
      <c r="G122" s="58">
        <v>1760</v>
      </c>
      <c r="H122" s="58">
        <v>1600</v>
      </c>
      <c r="I122" s="58">
        <f t="shared" si="40"/>
        <v>1760</v>
      </c>
      <c r="J122" s="58"/>
      <c r="K122" s="58">
        <f t="shared" si="36"/>
        <v>1600</v>
      </c>
      <c r="L122" s="58"/>
      <c r="M122" s="58">
        <v>1600</v>
      </c>
      <c r="N122" s="58">
        <f t="shared" si="39"/>
        <v>1595.313</v>
      </c>
      <c r="O122" s="58"/>
      <c r="P122" s="58">
        <v>1595.313</v>
      </c>
      <c r="Q122" s="58">
        <f t="shared" si="41"/>
        <v>1600</v>
      </c>
      <c r="R122" s="58">
        <v>0</v>
      </c>
      <c r="S122" s="58">
        <v>1600</v>
      </c>
      <c r="T122" s="140">
        <f t="shared" si="31"/>
        <v>100</v>
      </c>
      <c r="U122" s="141">
        <f t="shared" si="38"/>
        <v>99.7070625</v>
      </c>
      <c r="V122" s="34"/>
      <c r="W122" s="43"/>
      <c r="X122" s="35"/>
    </row>
    <row r="123" spans="1:24" s="9" customFormat="1" ht="45">
      <c r="A123" s="27">
        <v>36</v>
      </c>
      <c r="B123" s="45" t="s">
        <v>124</v>
      </c>
      <c r="C123" s="27" t="s">
        <v>28</v>
      </c>
      <c r="D123" s="27">
        <v>7823204</v>
      </c>
      <c r="E123" s="27" t="s">
        <v>127</v>
      </c>
      <c r="F123" s="33" t="s">
        <v>213</v>
      </c>
      <c r="G123" s="58">
        <v>1760</v>
      </c>
      <c r="H123" s="58">
        <v>1600</v>
      </c>
      <c r="I123" s="58">
        <f t="shared" si="40"/>
        <v>1760</v>
      </c>
      <c r="J123" s="58"/>
      <c r="K123" s="58">
        <f t="shared" si="36"/>
        <v>1600</v>
      </c>
      <c r="L123" s="58"/>
      <c r="M123" s="58">
        <v>1600</v>
      </c>
      <c r="N123" s="58">
        <f t="shared" si="39"/>
        <v>1594.87</v>
      </c>
      <c r="O123" s="58"/>
      <c r="P123" s="58">
        <v>1594.87</v>
      </c>
      <c r="Q123" s="58">
        <f t="shared" si="41"/>
        <v>1600</v>
      </c>
      <c r="R123" s="58">
        <v>0</v>
      </c>
      <c r="S123" s="58">
        <v>1600</v>
      </c>
      <c r="T123" s="140">
        <f t="shared" si="31"/>
        <v>100</v>
      </c>
      <c r="U123" s="141">
        <f t="shared" si="38"/>
        <v>99.679375</v>
      </c>
      <c r="V123" s="34"/>
      <c r="W123" s="43"/>
      <c r="X123" s="35"/>
    </row>
    <row r="124" spans="1:24" s="9" customFormat="1" ht="45">
      <c r="A124" s="27">
        <v>37</v>
      </c>
      <c r="B124" s="45" t="s">
        <v>125</v>
      </c>
      <c r="C124" s="27" t="s">
        <v>28</v>
      </c>
      <c r="D124" s="27">
        <v>7829842</v>
      </c>
      <c r="E124" s="27" t="s">
        <v>127</v>
      </c>
      <c r="F124" s="33" t="s">
        <v>214</v>
      </c>
      <c r="G124" s="58">
        <v>550</v>
      </c>
      <c r="H124" s="58">
        <v>500</v>
      </c>
      <c r="I124" s="58">
        <f t="shared" si="40"/>
        <v>550</v>
      </c>
      <c r="J124" s="58"/>
      <c r="K124" s="58">
        <f t="shared" si="36"/>
        <v>500</v>
      </c>
      <c r="L124" s="58"/>
      <c r="M124" s="58">
        <v>500</v>
      </c>
      <c r="N124" s="58">
        <f t="shared" si="39"/>
        <v>0</v>
      </c>
      <c r="O124" s="58"/>
      <c r="P124" s="58"/>
      <c r="Q124" s="58">
        <f t="shared" si="41"/>
        <v>500</v>
      </c>
      <c r="R124" s="58">
        <v>0</v>
      </c>
      <c r="S124" s="58">
        <v>500</v>
      </c>
      <c r="T124" s="140">
        <f t="shared" si="31"/>
        <v>100</v>
      </c>
      <c r="U124" s="141">
        <f t="shared" si="38"/>
        <v>0</v>
      </c>
      <c r="V124" s="34"/>
      <c r="W124" s="43"/>
      <c r="X124" s="35"/>
    </row>
    <row r="125" spans="1:24" s="9" customFormat="1" ht="45">
      <c r="A125" s="27">
        <v>38</v>
      </c>
      <c r="B125" s="45" t="s">
        <v>199</v>
      </c>
      <c r="C125" s="27" t="s">
        <v>28</v>
      </c>
      <c r="D125" s="27">
        <v>7829843</v>
      </c>
      <c r="E125" s="27" t="s">
        <v>127</v>
      </c>
      <c r="F125" s="33" t="s">
        <v>215</v>
      </c>
      <c r="G125" s="58">
        <v>1520</v>
      </c>
      <c r="H125" s="58">
        <v>1382</v>
      </c>
      <c r="I125" s="58">
        <f t="shared" si="40"/>
        <v>1520</v>
      </c>
      <c r="J125" s="58"/>
      <c r="K125" s="58">
        <f t="shared" si="36"/>
        <v>1382</v>
      </c>
      <c r="L125" s="58"/>
      <c r="M125" s="58">
        <v>1382</v>
      </c>
      <c r="N125" s="58">
        <f t="shared" si="39"/>
        <v>1381.998</v>
      </c>
      <c r="O125" s="58"/>
      <c r="P125" s="58">
        <v>1381.998</v>
      </c>
      <c r="Q125" s="58">
        <f t="shared" si="41"/>
        <v>1382</v>
      </c>
      <c r="R125" s="58">
        <v>0</v>
      </c>
      <c r="S125" s="58">
        <v>1382</v>
      </c>
      <c r="T125" s="140">
        <f t="shared" si="31"/>
        <v>100</v>
      </c>
      <c r="U125" s="141">
        <f t="shared" si="38"/>
        <v>99.99985528219972</v>
      </c>
      <c r="V125" s="34"/>
      <c r="W125" s="43"/>
      <c r="X125" s="35"/>
    </row>
    <row r="126" spans="1:24" s="9" customFormat="1" ht="45">
      <c r="A126" s="27">
        <v>39</v>
      </c>
      <c r="B126" s="45" t="s">
        <v>126</v>
      </c>
      <c r="C126" s="27" t="s">
        <v>28</v>
      </c>
      <c r="D126" s="27">
        <v>7823201</v>
      </c>
      <c r="E126" s="27" t="s">
        <v>127</v>
      </c>
      <c r="F126" s="33" t="s">
        <v>216</v>
      </c>
      <c r="G126" s="58">
        <v>77</v>
      </c>
      <c r="H126" s="58">
        <v>70</v>
      </c>
      <c r="I126" s="58">
        <f t="shared" si="40"/>
        <v>77</v>
      </c>
      <c r="J126" s="58"/>
      <c r="K126" s="58">
        <f t="shared" si="36"/>
        <v>70</v>
      </c>
      <c r="L126" s="58"/>
      <c r="M126" s="58">
        <v>70</v>
      </c>
      <c r="N126" s="58">
        <f t="shared" si="39"/>
        <v>0</v>
      </c>
      <c r="O126" s="58"/>
      <c r="P126" s="58"/>
      <c r="Q126" s="58">
        <f t="shared" si="41"/>
        <v>70</v>
      </c>
      <c r="R126" s="58">
        <v>0</v>
      </c>
      <c r="S126" s="58">
        <v>70</v>
      </c>
      <c r="T126" s="140">
        <f t="shared" si="31"/>
        <v>100</v>
      </c>
      <c r="U126" s="141">
        <f t="shared" si="38"/>
        <v>0</v>
      </c>
      <c r="V126" s="34"/>
      <c r="W126" s="43"/>
      <c r="X126" s="35"/>
    </row>
    <row r="127" spans="1:27" s="104" customFormat="1" ht="21" customHeight="1">
      <c r="A127" s="27">
        <v>40</v>
      </c>
      <c r="B127" s="45" t="s">
        <v>249</v>
      </c>
      <c r="C127" s="27" t="s">
        <v>28</v>
      </c>
      <c r="D127" s="27"/>
      <c r="E127" s="27" t="s">
        <v>127</v>
      </c>
      <c r="F127" s="33" t="s">
        <v>247</v>
      </c>
      <c r="G127" s="58">
        <v>1352</v>
      </c>
      <c r="H127" s="58">
        <v>1228</v>
      </c>
      <c r="I127" s="58">
        <f t="shared" si="40"/>
        <v>1352</v>
      </c>
      <c r="J127" s="58"/>
      <c r="K127" s="58">
        <f t="shared" si="36"/>
        <v>1228</v>
      </c>
      <c r="L127" s="58"/>
      <c r="M127" s="58">
        <v>1228</v>
      </c>
      <c r="N127" s="58"/>
      <c r="O127" s="58"/>
      <c r="P127" s="58"/>
      <c r="Q127" s="58">
        <f t="shared" si="41"/>
        <v>1228</v>
      </c>
      <c r="R127" s="58"/>
      <c r="S127" s="58">
        <v>1228</v>
      </c>
      <c r="T127" s="140">
        <f t="shared" si="31"/>
        <v>100</v>
      </c>
      <c r="U127" s="141">
        <f t="shared" si="38"/>
        <v>0</v>
      </c>
      <c r="V127" s="34"/>
      <c r="W127" s="43"/>
      <c r="X127" s="35"/>
      <c r="Y127" s="9"/>
      <c r="Z127" s="9"/>
      <c r="AA127" s="9"/>
    </row>
    <row r="128" spans="1:24" s="7" customFormat="1" ht="28.5">
      <c r="A128" s="111" t="s">
        <v>258</v>
      </c>
      <c r="B128" s="108" t="s">
        <v>133</v>
      </c>
      <c r="C128" s="108"/>
      <c r="D128" s="108"/>
      <c r="E128" s="108"/>
      <c r="F128" s="106"/>
      <c r="G128" s="3">
        <f>G129</f>
        <v>9223.3</v>
      </c>
      <c r="H128" s="3">
        <f aca="true" t="shared" si="42" ref="H128:S128">H129</f>
        <v>7214</v>
      </c>
      <c r="I128" s="3">
        <f t="shared" si="42"/>
        <v>7214</v>
      </c>
      <c r="J128" s="3">
        <f t="shared" si="42"/>
        <v>1038</v>
      </c>
      <c r="K128" s="3">
        <f t="shared" si="42"/>
        <v>3359.952</v>
      </c>
      <c r="L128" s="3">
        <f t="shared" si="42"/>
        <v>360.952</v>
      </c>
      <c r="M128" s="3">
        <f t="shared" si="42"/>
        <v>2999</v>
      </c>
      <c r="N128" s="3">
        <f t="shared" si="42"/>
        <v>2348.159</v>
      </c>
      <c r="O128" s="3">
        <f t="shared" si="42"/>
        <v>261.174</v>
      </c>
      <c r="P128" s="3">
        <f t="shared" si="42"/>
        <v>2086.985</v>
      </c>
      <c r="Q128" s="3">
        <f t="shared" si="42"/>
        <v>3166.977</v>
      </c>
      <c r="R128" s="3">
        <f t="shared" si="42"/>
        <v>261.174</v>
      </c>
      <c r="S128" s="3">
        <f t="shared" si="42"/>
        <v>2905.803</v>
      </c>
      <c r="T128" s="138">
        <f t="shared" si="31"/>
        <v>94.25661438020542</v>
      </c>
      <c r="U128" s="143">
        <f aca="true" t="shared" si="43" ref="U128:U135">N128/K128*100</f>
        <v>69.88668290499388</v>
      </c>
      <c r="V128" s="31"/>
      <c r="W128" s="32">
        <f>N128-V128</f>
        <v>2348.159</v>
      </c>
      <c r="X128" s="105"/>
    </row>
    <row r="129" spans="1:24" s="7" customFormat="1" ht="21" customHeight="1">
      <c r="A129" s="108"/>
      <c r="B129" s="108" t="s">
        <v>48</v>
      </c>
      <c r="C129" s="108"/>
      <c r="D129" s="108"/>
      <c r="E129" s="108"/>
      <c r="F129" s="106"/>
      <c r="G129" s="3">
        <f>SUM(G130:G135)</f>
        <v>9223.3</v>
      </c>
      <c r="H129" s="3">
        <f aca="true" t="shared" si="44" ref="H129:P129">SUM(H130:H135)</f>
        <v>7214</v>
      </c>
      <c r="I129" s="3">
        <f t="shared" si="44"/>
        <v>7214</v>
      </c>
      <c r="J129" s="3">
        <f t="shared" si="44"/>
        <v>1038</v>
      </c>
      <c r="K129" s="3">
        <f t="shared" si="44"/>
        <v>3359.952</v>
      </c>
      <c r="L129" s="3">
        <f t="shared" si="44"/>
        <v>360.952</v>
      </c>
      <c r="M129" s="3">
        <f t="shared" si="44"/>
        <v>2999</v>
      </c>
      <c r="N129" s="3">
        <f t="shared" si="44"/>
        <v>2348.159</v>
      </c>
      <c r="O129" s="3">
        <f t="shared" si="44"/>
        <v>261.174</v>
      </c>
      <c r="P129" s="3">
        <f t="shared" si="44"/>
        <v>2086.985</v>
      </c>
      <c r="Q129" s="3">
        <f>SUM(Q130:Q135)</f>
        <v>3166.977</v>
      </c>
      <c r="R129" s="3">
        <f>SUM(R130:R135)</f>
        <v>261.174</v>
      </c>
      <c r="S129" s="3">
        <f>SUM(S130:S135)</f>
        <v>2905.803</v>
      </c>
      <c r="T129" s="138">
        <f t="shared" si="31"/>
        <v>94.25661438020542</v>
      </c>
      <c r="U129" s="139">
        <f t="shared" si="43"/>
        <v>69.88668290499388</v>
      </c>
      <c r="V129" s="31">
        <v>1015.684</v>
      </c>
      <c r="W129" s="32">
        <f>N129-V129</f>
        <v>1332.4750000000001</v>
      </c>
      <c r="X129" s="105"/>
    </row>
    <row r="130" spans="1:24" s="9" customFormat="1" ht="45">
      <c r="A130" s="27">
        <v>1</v>
      </c>
      <c r="B130" s="28" t="s">
        <v>175</v>
      </c>
      <c r="C130" s="27" t="s">
        <v>28</v>
      </c>
      <c r="D130" s="27">
        <v>7667851</v>
      </c>
      <c r="E130" s="27" t="s">
        <v>33</v>
      </c>
      <c r="F130" s="33" t="s">
        <v>176</v>
      </c>
      <c r="G130" s="58">
        <v>1345.3</v>
      </c>
      <c r="H130" s="58">
        <v>1223</v>
      </c>
      <c r="I130" s="58">
        <f aca="true" t="shared" si="45" ref="I130:I135">H130</f>
        <v>1223</v>
      </c>
      <c r="J130" s="58">
        <v>818</v>
      </c>
      <c r="K130" s="58">
        <f aca="true" t="shared" si="46" ref="K130:K135">SUM(L130:M130)</f>
        <v>63.583</v>
      </c>
      <c r="L130" s="58">
        <v>63.583</v>
      </c>
      <c r="M130" s="58"/>
      <c r="N130" s="58">
        <f aca="true" t="shared" si="47" ref="N130:N135">SUM(O130:P130)</f>
        <v>0</v>
      </c>
      <c r="O130" s="58">
        <v>0</v>
      </c>
      <c r="P130" s="58"/>
      <c r="Q130" s="58">
        <f aca="true" t="shared" si="48" ref="Q130:Q135">SUM(R130:S130)</f>
        <v>0</v>
      </c>
      <c r="R130" s="58">
        <v>0</v>
      </c>
      <c r="S130" s="58">
        <v>0</v>
      </c>
      <c r="T130" s="140">
        <f t="shared" si="31"/>
        <v>0</v>
      </c>
      <c r="U130" s="141">
        <f t="shared" si="43"/>
        <v>0</v>
      </c>
      <c r="V130" s="34">
        <v>306.943</v>
      </c>
      <c r="W130" s="43">
        <f>N130-V130</f>
        <v>-306.943</v>
      </c>
      <c r="X130" s="35"/>
    </row>
    <row r="131" spans="1:24" s="9" customFormat="1" ht="30">
      <c r="A131" s="27">
        <v>2</v>
      </c>
      <c r="B131" s="28" t="s">
        <v>177</v>
      </c>
      <c r="C131" s="27" t="s">
        <v>28</v>
      </c>
      <c r="D131" s="27">
        <v>7667850</v>
      </c>
      <c r="E131" s="27" t="s">
        <v>33</v>
      </c>
      <c r="F131" s="33" t="s">
        <v>178</v>
      </c>
      <c r="G131" s="58">
        <v>880</v>
      </c>
      <c r="H131" s="58">
        <v>800</v>
      </c>
      <c r="I131" s="58">
        <f t="shared" si="45"/>
        <v>800</v>
      </c>
      <c r="J131" s="58">
        <v>220</v>
      </c>
      <c r="K131" s="58">
        <f t="shared" si="46"/>
        <v>36.195</v>
      </c>
      <c r="L131" s="58">
        <v>36.195</v>
      </c>
      <c r="M131" s="58"/>
      <c r="N131" s="58">
        <f t="shared" si="47"/>
        <v>0</v>
      </c>
      <c r="O131" s="58">
        <v>0</v>
      </c>
      <c r="P131" s="58"/>
      <c r="Q131" s="58">
        <f t="shared" si="48"/>
        <v>0</v>
      </c>
      <c r="R131" s="58">
        <v>0</v>
      </c>
      <c r="S131" s="58">
        <v>0</v>
      </c>
      <c r="T131" s="140">
        <f t="shared" si="31"/>
        <v>0</v>
      </c>
      <c r="U131" s="141">
        <f t="shared" si="43"/>
        <v>0</v>
      </c>
      <c r="V131" s="34">
        <v>0</v>
      </c>
      <c r="W131" s="43">
        <f>N131-V131</f>
        <v>0</v>
      </c>
      <c r="X131" s="35"/>
    </row>
    <row r="132" spans="1:24" s="9" customFormat="1" ht="31.5" customHeight="1">
      <c r="A132" s="27">
        <v>3</v>
      </c>
      <c r="B132" s="28" t="s">
        <v>94</v>
      </c>
      <c r="C132" s="27" t="s">
        <v>28</v>
      </c>
      <c r="D132" s="27">
        <v>7746985</v>
      </c>
      <c r="E132" s="27" t="s">
        <v>33</v>
      </c>
      <c r="F132" s="33" t="s">
        <v>75</v>
      </c>
      <c r="G132" s="58">
        <v>3095</v>
      </c>
      <c r="H132" s="58">
        <v>1643</v>
      </c>
      <c r="I132" s="58">
        <f t="shared" si="45"/>
        <v>1643</v>
      </c>
      <c r="J132" s="58"/>
      <c r="K132" s="58">
        <f t="shared" si="46"/>
        <v>534</v>
      </c>
      <c r="L132" s="58">
        <v>0</v>
      </c>
      <c r="M132" s="58">
        <v>534</v>
      </c>
      <c r="N132" s="58">
        <f t="shared" si="47"/>
        <v>164.429</v>
      </c>
      <c r="O132" s="58"/>
      <c r="P132" s="58">
        <v>164.429</v>
      </c>
      <c r="Q132" s="58">
        <f t="shared" si="48"/>
        <v>534</v>
      </c>
      <c r="R132" s="58"/>
      <c r="S132" s="58">
        <v>534</v>
      </c>
      <c r="T132" s="140">
        <f t="shared" si="31"/>
        <v>100</v>
      </c>
      <c r="U132" s="141">
        <f t="shared" si="43"/>
        <v>30.791947565543072</v>
      </c>
      <c r="V132" s="34">
        <v>0</v>
      </c>
      <c r="W132" s="43">
        <f>N132-V132</f>
        <v>164.429</v>
      </c>
      <c r="X132" s="35"/>
    </row>
    <row r="133" spans="1:24" s="9" customFormat="1" ht="36" customHeight="1">
      <c r="A133" s="27">
        <v>4</v>
      </c>
      <c r="B133" s="28" t="s">
        <v>68</v>
      </c>
      <c r="C133" s="27" t="s">
        <v>28</v>
      </c>
      <c r="D133" s="27">
        <v>7728567</v>
      </c>
      <c r="E133" s="27">
        <v>2019</v>
      </c>
      <c r="F133" s="33" t="s">
        <v>131</v>
      </c>
      <c r="G133" s="58">
        <v>1308</v>
      </c>
      <c r="H133" s="58">
        <v>1189</v>
      </c>
      <c r="I133" s="58">
        <f t="shared" si="45"/>
        <v>1189</v>
      </c>
      <c r="J133" s="58"/>
      <c r="K133" s="58">
        <f t="shared" si="46"/>
        <v>821.174</v>
      </c>
      <c r="L133" s="58">
        <v>261.174</v>
      </c>
      <c r="M133" s="58">
        <v>560</v>
      </c>
      <c r="N133" s="58">
        <f>SUM(O133:P133)</f>
        <v>669.3340000000001</v>
      </c>
      <c r="O133" s="58">
        <v>261.174</v>
      </c>
      <c r="P133" s="58">
        <v>408.16</v>
      </c>
      <c r="Q133" s="58">
        <f t="shared" si="48"/>
        <v>821.174</v>
      </c>
      <c r="R133" s="58">
        <f>O133</f>
        <v>261.174</v>
      </c>
      <c r="S133" s="58">
        <v>560</v>
      </c>
      <c r="T133" s="140">
        <f t="shared" si="31"/>
        <v>100</v>
      </c>
      <c r="U133" s="141">
        <f t="shared" si="43"/>
        <v>81.50939995664744</v>
      </c>
      <c r="V133" s="34"/>
      <c r="W133" s="43"/>
      <c r="X133" s="35"/>
    </row>
    <row r="134" spans="1:24" s="9" customFormat="1" ht="36" customHeight="1">
      <c r="A134" s="27">
        <v>5</v>
      </c>
      <c r="B134" s="28" t="s">
        <v>69</v>
      </c>
      <c r="C134" s="27" t="s">
        <v>28</v>
      </c>
      <c r="D134" s="27">
        <v>7728568</v>
      </c>
      <c r="E134" s="27">
        <v>2019</v>
      </c>
      <c r="F134" s="33" t="s">
        <v>130</v>
      </c>
      <c r="G134" s="58">
        <v>1115</v>
      </c>
      <c r="H134" s="58">
        <v>1014</v>
      </c>
      <c r="I134" s="58">
        <f t="shared" si="45"/>
        <v>1014</v>
      </c>
      <c r="J134" s="58"/>
      <c r="K134" s="58">
        <f t="shared" si="46"/>
        <v>560</v>
      </c>
      <c r="L134" s="58">
        <v>0</v>
      </c>
      <c r="M134" s="58">
        <v>560</v>
      </c>
      <c r="N134" s="58">
        <f t="shared" si="47"/>
        <v>466.803</v>
      </c>
      <c r="O134" s="58">
        <v>0</v>
      </c>
      <c r="P134" s="58">
        <v>466.803</v>
      </c>
      <c r="Q134" s="58">
        <f t="shared" si="48"/>
        <v>466.803</v>
      </c>
      <c r="R134" s="58"/>
      <c r="S134" s="58">
        <v>466.803</v>
      </c>
      <c r="T134" s="140">
        <f t="shared" si="31"/>
        <v>83.35767857142858</v>
      </c>
      <c r="U134" s="141">
        <f t="shared" si="43"/>
        <v>83.35767857142858</v>
      </c>
      <c r="V134" s="34"/>
      <c r="W134" s="43"/>
      <c r="X134" s="35"/>
    </row>
    <row r="135" spans="1:24" s="9" customFormat="1" ht="36" customHeight="1">
      <c r="A135" s="27">
        <v>6</v>
      </c>
      <c r="B135" s="28" t="s">
        <v>128</v>
      </c>
      <c r="C135" s="27" t="s">
        <v>28</v>
      </c>
      <c r="D135" s="27">
        <v>7821325</v>
      </c>
      <c r="E135" s="27">
        <v>2019</v>
      </c>
      <c r="F135" s="33" t="s">
        <v>129</v>
      </c>
      <c r="G135" s="58">
        <v>1480</v>
      </c>
      <c r="H135" s="58">
        <v>1345</v>
      </c>
      <c r="I135" s="58">
        <f t="shared" si="45"/>
        <v>1345</v>
      </c>
      <c r="J135" s="58"/>
      <c r="K135" s="58">
        <f t="shared" si="46"/>
        <v>1345</v>
      </c>
      <c r="L135" s="58">
        <v>0</v>
      </c>
      <c r="M135" s="58">
        <v>1345</v>
      </c>
      <c r="N135" s="58">
        <f t="shared" si="47"/>
        <v>1047.593</v>
      </c>
      <c r="O135" s="58">
        <v>0</v>
      </c>
      <c r="P135" s="58">
        <v>1047.593</v>
      </c>
      <c r="Q135" s="58">
        <f t="shared" si="48"/>
        <v>1345</v>
      </c>
      <c r="R135" s="58"/>
      <c r="S135" s="58">
        <v>1345</v>
      </c>
      <c r="T135" s="140">
        <f t="shared" si="31"/>
        <v>100</v>
      </c>
      <c r="U135" s="141">
        <f t="shared" si="43"/>
        <v>77.88795539033457</v>
      </c>
      <c r="V135" s="34"/>
      <c r="W135" s="43"/>
      <c r="X135" s="35"/>
    </row>
    <row r="136" spans="1:4" ht="12.75">
      <c r="A136" s="35"/>
      <c r="B136" s="46" t="s">
        <v>44</v>
      </c>
      <c r="C136" s="47"/>
      <c r="D136" s="47"/>
    </row>
    <row r="137" ht="12.75">
      <c r="B137" s="46" t="s">
        <v>43</v>
      </c>
    </row>
    <row r="138" ht="12.75" hidden="1"/>
    <row r="139" ht="12.75" hidden="1"/>
    <row r="140" ht="12.75" hidden="1"/>
    <row r="141" ht="12.75" hidden="1"/>
    <row r="142" spans="1:23" ht="13.5" hidden="1">
      <c r="A142" s="167"/>
      <c r="B142" s="167"/>
      <c r="C142" s="167"/>
      <c r="D142" s="96"/>
      <c r="E142" s="174" t="s">
        <v>41</v>
      </c>
      <c r="F142" s="174"/>
      <c r="G142" s="174"/>
      <c r="H142" s="174"/>
      <c r="I142" s="174"/>
      <c r="J142" s="168"/>
      <c r="K142" s="168"/>
      <c r="L142" s="168"/>
      <c r="M142" s="168"/>
      <c r="O142" s="151" t="s">
        <v>42</v>
      </c>
      <c r="P142" s="151"/>
      <c r="Q142" s="151"/>
      <c r="R142" s="151"/>
      <c r="S142" s="151"/>
      <c r="T142" s="151"/>
      <c r="U142" s="151"/>
      <c r="V142" s="151"/>
      <c r="W142" s="151"/>
    </row>
    <row r="143" ht="12.75" hidden="1"/>
    <row r="144" ht="12.75" hidden="1"/>
    <row r="145" ht="12.75" hidden="1"/>
    <row r="146" ht="12.75" hidden="1"/>
    <row r="147" ht="12.75" hidden="1">
      <c r="F147" s="48">
        <v>22844.943</v>
      </c>
    </row>
    <row r="148" ht="12.75" hidden="1">
      <c r="F148" s="48" t="e">
        <f>#REF!+#REF!+#REF!+#REF!</f>
        <v>#REF!</v>
      </c>
    </row>
    <row r="149" ht="12.75" hidden="1">
      <c r="F149" s="48" t="e">
        <f>F147-F148</f>
        <v>#REF!</v>
      </c>
    </row>
    <row r="150" ht="12.75" hidden="1">
      <c r="F150" s="49" t="e">
        <f>#REF!+#REF!</f>
        <v>#REF!</v>
      </c>
    </row>
    <row r="151" ht="12.75" hidden="1"/>
    <row r="153" ht="22.5" customHeight="1">
      <c r="F153" s="48"/>
    </row>
    <row r="154" spans="2:6" ht="12.75">
      <c r="B154" s="50"/>
      <c r="F154" s="51"/>
    </row>
    <row r="155" ht="12.75">
      <c r="N155" s="4">
        <f>N30-N31-N46-N85</f>
        <v>16425.809031</v>
      </c>
    </row>
    <row r="156" ht="12.75">
      <c r="F156" s="52"/>
    </row>
    <row r="157" ht="12.75">
      <c r="B157" s="53"/>
    </row>
    <row r="158" ht="12.75">
      <c r="F158" s="54"/>
    </row>
    <row r="159" spans="2:6" ht="12.75">
      <c r="B159" s="55"/>
      <c r="F159" s="56"/>
    </row>
    <row r="160" ht="12.75">
      <c r="B160" s="57"/>
    </row>
    <row r="161" ht="12.75">
      <c r="F161" s="48"/>
    </row>
    <row r="163" ht="12.75">
      <c r="F163" s="52"/>
    </row>
  </sheetData>
  <sheetProtection/>
  <mergeCells count="35">
    <mergeCell ref="E142:I142"/>
    <mergeCell ref="J8:J10"/>
    <mergeCell ref="K8:M8"/>
    <mergeCell ref="G9:H9"/>
    <mergeCell ref="K9:K10"/>
    <mergeCell ref="N9:N10"/>
    <mergeCell ref="Q8:S8"/>
    <mergeCell ref="Q9:Q10"/>
    <mergeCell ref="R9:S9"/>
    <mergeCell ref="A13:B13"/>
    <mergeCell ref="V8:V10"/>
    <mergeCell ref="O9:P9"/>
    <mergeCell ref="I8:I10"/>
    <mergeCell ref="E8:E10"/>
    <mergeCell ref="F9:F10"/>
    <mergeCell ref="W8:W10"/>
    <mergeCell ref="T9:T10"/>
    <mergeCell ref="U9:U10"/>
    <mergeCell ref="T8:U8"/>
    <mergeCell ref="A142:C142"/>
    <mergeCell ref="J142:M142"/>
    <mergeCell ref="F8:H8"/>
    <mergeCell ref="L9:M9"/>
    <mergeCell ref="A8:A10"/>
    <mergeCell ref="D8:D10"/>
    <mergeCell ref="O142:W142"/>
    <mergeCell ref="M2:U2"/>
    <mergeCell ref="A5:U5"/>
    <mergeCell ref="L7:U7"/>
    <mergeCell ref="B8:B10"/>
    <mergeCell ref="C8:C10"/>
    <mergeCell ref="A3:E3"/>
    <mergeCell ref="A4:U4"/>
    <mergeCell ref="A6:U6"/>
    <mergeCell ref="N8:P8"/>
  </mergeCells>
  <printOptions/>
  <pageMargins left="0.4724409448818898" right="0.15748031496062992" top="0.31496062992125984" bottom="0.35433070866141736" header="0.31496062992125984" footer="0.31496062992125984"/>
  <pageSetup horizontalDpi="600" verticalDpi="600" orientation="landscape" paperSize="9" scale="50"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2020-11-26T00:58:40Z</cp:lastPrinted>
  <dcterms:created xsi:type="dcterms:W3CDTF">2017-11-20T02:19:44Z</dcterms:created>
  <dcterms:modified xsi:type="dcterms:W3CDTF">2020-11-26T01:01:27Z</dcterms:modified>
  <cp:category/>
  <cp:version/>
  <cp:contentType/>
  <cp:contentStatus/>
</cp:coreProperties>
</file>